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B92" lockStructure="1"/>
  <bookViews>
    <workbookView windowWidth="28800" windowHeight="12540"/>
  </bookViews>
  <sheets>
    <sheet name="设置" sheetId="1" r:id="rId1"/>
    <sheet name="个贷明细" sheetId="2" r:id="rId2"/>
    <sheet name="企贷明细" sheetId="3" r:id="rId3"/>
    <sheet name="1季统计" sheetId="4" r:id="rId4"/>
    <sheet name="2季统计" sheetId="5" r:id="rId5"/>
    <sheet name="3季统计" sheetId="6" r:id="rId6"/>
    <sheet name="4季统计" sheetId="7" r:id="rId7"/>
    <sheet name="报省" sheetId="8" r:id="rId8"/>
    <sheet name="草稿" sheetId="9" r:id="rId9"/>
  </sheets>
  <definedNames>
    <definedName name="_xlnm._FilterDatabase" localSheetId="1" hidden="1">个贷明细!$A$2:$BH$13</definedName>
    <definedName name="_xlnm._FilterDatabase" localSheetId="2" hidden="1">企贷明细!$A$2:$BP$12</definedName>
    <definedName name="_xlnm.Print_Titles" localSheetId="1">个贷明细!$A:$D,个贷明细!$1:$1</definedName>
    <definedName name="_xlnm.Print_Titles" localSheetId="2">企贷明细!$A:$D,企贷明细!$1:$1</definedName>
  </definedNames>
  <calcPr calcId="144525"/>
</workbook>
</file>

<file path=xl/comments1.xml><?xml version="1.0" encoding="utf-8"?>
<comments xmlns="http://schemas.openxmlformats.org/spreadsheetml/2006/main">
  <authors>
    <author>NP</author>
  </authors>
  <commentList>
    <comment ref="A50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
</t>
        </r>
      </text>
    </comment>
    <comment ref="A51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52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55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
</t>
        </r>
      </text>
    </comment>
    <comment ref="A56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57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62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63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  <comment ref="A64" authorId="0">
      <text>
        <r>
          <rPr>
            <b/>
            <sz val="9"/>
            <rFont val="宋体"/>
            <charset val="134"/>
          </rPr>
          <t>NP:</t>
        </r>
        <r>
          <rPr>
            <sz val="9"/>
            <rFont val="宋体"/>
            <charset val="134"/>
          </rPr>
          <t xml:space="preserve">
根据实际更改为新增银行简称</t>
        </r>
      </text>
    </comment>
  </commentList>
</comments>
</file>

<file path=xl/sharedStrings.xml><?xml version="1.0" encoding="utf-8"?>
<sst xmlns="http://schemas.openxmlformats.org/spreadsheetml/2006/main" count="995" uniqueCount="312">
  <si>
    <t>期间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</si>
  <si>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年期</t>
    </r>
    <r>
      <rPr>
        <sz val="11"/>
        <rFont val="Arial"/>
        <charset val="134"/>
      </rPr>
      <t>LPR%</t>
    </r>
  </si>
  <si>
    <r>
      <rPr>
        <sz val="11"/>
        <rFont val="Arial"/>
        <charset val="134"/>
      </rPr>
      <t>5</t>
    </r>
    <r>
      <rPr>
        <sz val="11"/>
        <rFont val="宋体"/>
        <charset val="134"/>
      </rPr>
      <t>年期</t>
    </r>
    <r>
      <rPr>
        <sz val="11"/>
        <rFont val="Arial"/>
        <charset val="134"/>
      </rPr>
      <t>LPR%</t>
    </r>
  </si>
  <si>
    <t>填表说明及注意事项</t>
  </si>
  <si>
    <t>20240403</t>
  </si>
  <si>
    <t>***市县</t>
  </si>
  <si>
    <r>
      <rPr>
        <sz val="11"/>
        <rFont val="宋体"/>
        <charset val="134"/>
        <scheme val="minor"/>
      </rPr>
      <t>1.本表中，①在</t>
    </r>
    <r>
      <rPr>
        <b/>
        <sz val="11"/>
        <rFont val="Meiryo UI"/>
        <charset val="134"/>
      </rPr>
      <t>B</t>
    </r>
    <r>
      <rPr>
        <b/>
        <sz val="11"/>
        <rFont val="宋体"/>
        <charset val="134"/>
        <scheme val="minor"/>
      </rPr>
      <t>22</t>
    </r>
    <r>
      <rPr>
        <sz val="11"/>
        <rFont val="宋体"/>
        <charset val="134"/>
        <scheme val="minor"/>
      </rPr>
      <t>中填写或选择填报单位市县名称。②在</t>
    </r>
    <r>
      <rPr>
        <b/>
        <sz val="11"/>
        <rFont val="Meiryo UI"/>
        <charset val="134"/>
      </rPr>
      <t>D</t>
    </r>
    <r>
      <rPr>
        <b/>
        <sz val="11"/>
        <rFont val="宋体"/>
        <charset val="134"/>
        <scheme val="minor"/>
      </rPr>
      <t>23</t>
    </r>
    <r>
      <rPr>
        <sz val="11"/>
        <rFont val="宋体"/>
        <charset val="134"/>
        <scheme val="minor"/>
      </rPr>
      <t>中按D20格式填写当年起始年月日。③在</t>
    </r>
    <r>
      <rPr>
        <b/>
        <sz val="11"/>
        <rFont val="Meiryo UI"/>
        <charset val="134"/>
      </rPr>
      <t>M-O</t>
    </r>
    <r>
      <rPr>
        <b/>
        <sz val="11"/>
        <rFont val="宋体"/>
        <charset val="134"/>
        <scheme val="minor"/>
      </rPr>
      <t>列</t>
    </r>
    <r>
      <rPr>
        <sz val="11"/>
        <rFont val="宋体"/>
        <charset val="134"/>
        <scheme val="minor"/>
      </rPr>
      <t>填写人总行发布的LPR及日期。④在</t>
    </r>
    <r>
      <rPr>
        <b/>
        <sz val="11"/>
        <rFont val="宋体"/>
        <charset val="134"/>
        <scheme val="minor"/>
      </rPr>
      <t>"报省"表的</t>
    </r>
    <r>
      <rPr>
        <b/>
        <sz val="11"/>
        <rFont val="Meiryo UI"/>
        <charset val="134"/>
      </rPr>
      <t>H</t>
    </r>
    <r>
      <rPr>
        <b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中填写年末担保基金余额(如一季结束后报省，填一季末余额，二季结束后报省，更改为二季末余额，类推，年末报省时更改为年末余额)。⑤"个贷明细"和"企贷明细"白色单元格填写相关数据信息。</t>
    </r>
    <r>
      <rPr>
        <sz val="11"/>
        <rFont val="宋体"/>
        <charset val="134"/>
      </rPr>
      <t>⑥</t>
    </r>
    <r>
      <rPr>
        <sz val="11"/>
        <rFont val="宋体"/>
        <charset val="134"/>
        <scheme val="minor"/>
      </rPr>
      <t>添加或修改经办银行名称，请在"1季统计"第二张表中操作。</t>
    </r>
  </si>
  <si>
    <t>武汉市(本级)</t>
  </si>
  <si>
    <t>江夏区</t>
  </si>
  <si>
    <t>蔡甸区</t>
  </si>
  <si>
    <t>新洲区</t>
  </si>
  <si>
    <r>
      <rPr>
        <sz val="11"/>
        <rFont val="宋体"/>
        <charset val="134"/>
        <scheme val="minor"/>
      </rPr>
      <t>2.对</t>
    </r>
    <r>
      <rPr>
        <b/>
        <sz val="11"/>
        <rFont val="宋体"/>
        <charset val="134"/>
        <scheme val="minor"/>
      </rPr>
      <t>分期还款的贷款</t>
    </r>
    <r>
      <rPr>
        <sz val="11"/>
        <rFont val="宋体"/>
        <charset val="134"/>
        <scheme val="minor"/>
      </rPr>
      <t>，需按还款额对应的贷款和还款日期拆分填写。</t>
    </r>
  </si>
  <si>
    <t>黄陂区</t>
  </si>
  <si>
    <t>3.超出中央、符合省级政策部分贷款，由市县自行承担贴息金额，个贷在AH\AP\AX\BF列、企贷在AJ\AT\BD\BN列对应单元格中填写。</t>
  </si>
  <si>
    <t>黄石市(本级)</t>
  </si>
  <si>
    <t>大冶市</t>
  </si>
  <si>
    <t>4.绿色单元格写入了运算公式，不能修改。单元格中如出现"错误、超额"等提示，则表示相关单元格中没填写或填写的数据或信息错误，填写完整后还存在错误提示，表明相关单元格中数据或信息填写错误，如出现"检查"提示,则表示存疑，请检查相关单元格中填写的数据或信息是否正确。1季至4季统计4张表自动生成，不需要市县填写。</t>
  </si>
  <si>
    <t>阳新县</t>
  </si>
  <si>
    <t>十堰市(本级)</t>
  </si>
  <si>
    <t>郧阳区</t>
  </si>
  <si>
    <t>5.重要提示！从银行提交的表格文件中，“贷款合同签定日期”和“贷款期限”项下数据，多为自定义或文本格式，需转换成日期值格式。如“基准利率校验”显示“#N/A”，对应的“贷款合同签定日期”和“贷款期限”为非日期值格式，关联的“贴息利率”也将错误计算。存在此情况的，可将金额和日期数据在"转换"表中进行转换后复制到正表中。</t>
  </si>
  <si>
    <t>丹江口市</t>
  </si>
  <si>
    <t>郧西县</t>
  </si>
  <si>
    <t>竹山县</t>
  </si>
  <si>
    <t>竹溪县</t>
  </si>
  <si>
    <r>
      <rPr>
        <sz val="11"/>
        <rFont val="宋体"/>
        <charset val="134"/>
        <scheme val="minor"/>
      </rPr>
      <t>6.要求本表格文件填写完毕保存时，</t>
    </r>
    <r>
      <rPr>
        <b/>
        <sz val="11"/>
        <rFont val="宋体"/>
        <charset val="134"/>
        <scheme val="minor"/>
      </rPr>
      <t>保存名称与A1单元格中内容一致</t>
    </r>
    <r>
      <rPr>
        <sz val="11"/>
        <rFont val="宋体"/>
        <charset val="134"/>
        <scheme val="minor"/>
      </rPr>
      <t>。</t>
    </r>
  </si>
  <si>
    <t>房县</t>
  </si>
  <si>
    <t>7.建议复制数据或信息到“个贷明细和企贷明细”相应位置时，选择“粘贴为数值(快捷键trl+Shift+V)”。</t>
  </si>
  <si>
    <t>荆州市(本级)</t>
  </si>
  <si>
    <r>
      <rPr>
        <sz val="11"/>
        <rFont val="宋体"/>
        <charset val="134"/>
        <scheme val="minor"/>
      </rPr>
      <t>8.</t>
    </r>
    <r>
      <rPr>
        <b/>
        <sz val="11"/>
        <rFont val="宋体"/>
        <charset val="134"/>
        <scheme val="minor"/>
      </rPr>
      <t>表中存在如下错误提示，请检查相关表格并修改！</t>
    </r>
  </si>
  <si>
    <t>荆州区</t>
  </si>
  <si>
    <t>江陵县</t>
  </si>
  <si>
    <t>松滋市</t>
  </si>
  <si>
    <t>填报市县名称</t>
  </si>
  <si>
    <t>年度贷款区间</t>
  </si>
  <si>
    <t>一至四季度贷款统计起止期</t>
  </si>
  <si>
    <t>公安县</t>
  </si>
  <si>
    <t>创业担保贷款财政贴息明细表</t>
  </si>
  <si>
    <t>(个人贷款)</t>
  </si>
  <si>
    <t>石首市</t>
  </si>
  <si>
    <t>创业担保贷款财政贴息统计表</t>
  </si>
  <si>
    <t>(企业贷款)</t>
  </si>
  <si>
    <t>监利市</t>
  </si>
  <si>
    <t>创业担保贷款奖补申报(审核)表</t>
  </si>
  <si>
    <t>(一季度)</t>
  </si>
  <si>
    <t>洪湖市</t>
  </si>
  <si>
    <t>创业担保贷款月末余额统计表</t>
  </si>
  <si>
    <t>(上半年)</t>
  </si>
  <si>
    <t>年度贴息区间</t>
  </si>
  <si>
    <t>一至四季度贴息统计起止期</t>
  </si>
  <si>
    <t>宜昌市(本级)</t>
  </si>
  <si>
    <t>创业担保贷款财政贴息报表</t>
  </si>
  <si>
    <t>(前三季度)</t>
  </si>
  <si>
    <t>夷陵区</t>
  </si>
  <si>
    <t>财政局</t>
  </si>
  <si>
    <t>年</t>
  </si>
  <si>
    <t>宜都市</t>
  </si>
  <si>
    <t>枝江市</t>
  </si>
  <si>
    <t>贫困县清单</t>
  </si>
  <si>
    <t>兴山县</t>
  </si>
  <si>
    <t>团风县</t>
  </si>
  <si>
    <t>恩施市</t>
  </si>
  <si>
    <t>恩施州(本级)</t>
  </si>
  <si>
    <t>比照西部地区</t>
  </si>
  <si>
    <t>孝昌县</t>
  </si>
  <si>
    <t>崇阳县</t>
  </si>
  <si>
    <t>来凤县</t>
  </si>
  <si>
    <t>当阳市</t>
  </si>
  <si>
    <t>秭归县</t>
  </si>
  <si>
    <t>红安县</t>
  </si>
  <si>
    <t>建始县</t>
  </si>
  <si>
    <t>大悟县</t>
  </si>
  <si>
    <t>通山县</t>
  </si>
  <si>
    <t>鹤峰县</t>
  </si>
  <si>
    <t>远安县</t>
  </si>
  <si>
    <t>长阳县</t>
  </si>
  <si>
    <t>麻城市</t>
  </si>
  <si>
    <t>巴东县</t>
  </si>
  <si>
    <t>五峰县</t>
  </si>
  <si>
    <t>罗田县</t>
  </si>
  <si>
    <t>利川市</t>
  </si>
  <si>
    <t>南漳县</t>
  </si>
  <si>
    <t>英山县</t>
  </si>
  <si>
    <t>宣恩县</t>
  </si>
  <si>
    <t>谷城县</t>
  </si>
  <si>
    <t>蕲春县</t>
  </si>
  <si>
    <t>咸丰县</t>
  </si>
  <si>
    <t>保康县</t>
  </si>
  <si>
    <t>通城县</t>
  </si>
  <si>
    <t>襄阳市(本级)</t>
  </si>
  <si>
    <t>浠水县</t>
  </si>
  <si>
    <t>襄州区</t>
  </si>
  <si>
    <t>神农架林区</t>
  </si>
  <si>
    <t>老河口市</t>
  </si>
  <si>
    <t>枣阳市</t>
  </si>
  <si>
    <t>政策一览表</t>
  </si>
  <si>
    <t>宜城市</t>
  </si>
  <si>
    <t>政策对应区间</t>
  </si>
  <si>
    <t>上浮上限</t>
  </si>
  <si>
    <t>贫困县</t>
  </si>
  <si>
    <t>300BP</t>
  </si>
  <si>
    <t>250BP</t>
  </si>
  <si>
    <t>其他</t>
  </si>
  <si>
    <t>200BP</t>
  </si>
  <si>
    <t>150BP</t>
  </si>
  <si>
    <t>鄂州市</t>
  </si>
  <si>
    <t>贷款利率</t>
  </si>
  <si>
    <r>
      <rPr>
        <sz val="11"/>
        <rFont val="Arial"/>
        <charset val="134"/>
      </rPr>
      <t>LPR+</t>
    </r>
    <r>
      <rPr>
        <sz val="11"/>
        <rFont val="宋体"/>
        <charset val="134"/>
      </rPr>
      <t>上浮上限</t>
    </r>
  </si>
  <si>
    <t>荆门市(本级)</t>
  </si>
  <si>
    <t>东宝区</t>
  </si>
  <si>
    <t>贴息利率</t>
  </si>
  <si>
    <t>个贷</t>
  </si>
  <si>
    <r>
      <rPr>
        <sz val="11"/>
        <rFont val="宋体"/>
        <charset val="134"/>
      </rPr>
      <t>贷款利率</t>
    </r>
  </si>
  <si>
    <r>
      <rPr>
        <sz val="11"/>
        <rFont val="宋体"/>
        <charset val="134"/>
      </rPr>
      <t>上浮幅度</t>
    </r>
    <r>
      <rPr>
        <sz val="11"/>
        <rFont val="Arial"/>
        <charset val="134"/>
      </rPr>
      <t>+150BP</t>
    </r>
  </si>
  <si>
    <r>
      <rPr>
        <sz val="11"/>
        <rFont val="宋体"/>
        <charset val="134"/>
      </rPr>
      <t>贷款利率</t>
    </r>
    <r>
      <rPr>
        <sz val="11"/>
        <rFont val="Arial"/>
        <charset val="134"/>
      </rPr>
      <t>*50%</t>
    </r>
  </si>
  <si>
    <t>钟祥市</t>
  </si>
  <si>
    <t>合伙</t>
  </si>
  <si>
    <t>京山市</t>
  </si>
  <si>
    <t>小微企业</t>
  </si>
  <si>
    <t>LPR*50%</t>
  </si>
  <si>
    <t>沙洋县</t>
  </si>
  <si>
    <t>中央贴息
贷款额度</t>
  </si>
  <si>
    <t>30-20</t>
  </si>
  <si>
    <t>孝感市(本级)</t>
  </si>
  <si>
    <t>15*合伙人数≤50</t>
  </si>
  <si>
    <t>20*合伙人数*110%≤300</t>
  </si>
  <si>
    <t>30*合伙人数*110%≤300</t>
  </si>
  <si>
    <t>30*合伙人数*110%≤400</t>
  </si>
  <si>
    <t>孝南区</t>
  </si>
  <si>
    <t>中国人民银行货币政策司
http://www.pbc.gov.cn/zhengcehuobisi/125207/125213/125440/index.html</t>
  </si>
  <si>
    <t>上限为300万元。现有人数不超过100人的，本年招用人数超过现有人数20%；现有人数超过100人的，本年招用人数超过现有人数10%</t>
  </si>
  <si>
    <t>上限为300万元。现有人数不超过100人的，本年招用人数超过现有人数15%；现有人数超过100人的，本年招用人数超过现有人数8%</t>
  </si>
  <si>
    <t>上限为400万元。现有人数不超过100人的，本年招用人数超过现有人数10%；现有人数超过100人的，本年招用人数超过现有人数5%</t>
  </si>
  <si>
    <t>安陆市</t>
  </si>
  <si>
    <t>云梦县</t>
  </si>
  <si>
    <t>应城市</t>
  </si>
  <si>
    <t>汉川市</t>
  </si>
  <si>
    <t>黄冈市(本级)</t>
  </si>
  <si>
    <t>黄州区</t>
  </si>
  <si>
    <t>符合中央政策贴息分担比例</t>
  </si>
  <si>
    <t>中部地区</t>
  </si>
  <si>
    <t>50:25:25</t>
  </si>
  <si>
    <t>中央和省级70%，市县30%</t>
  </si>
  <si>
    <t>70:15:15</t>
  </si>
  <si>
    <t>超出中央符合省级贴息贷款额度部分贴息政策</t>
  </si>
  <si>
    <t>超出中央、符合省级政策部分贷款，由市县自行承担贴息金额，个贷在AH\AP\AX\BF列、企贷在AJ\AT\BD\BN列中填写。</t>
  </si>
  <si>
    <t>个贷20-30万、合伙（贷款金额-20万*人数*110%）部分，由市县自行承担</t>
  </si>
  <si>
    <t>武穴市</t>
  </si>
  <si>
    <t>黄梅县</t>
  </si>
  <si>
    <t>咸宁市(本级)</t>
  </si>
  <si>
    <t>企贷300-500万部分，由市县自行承担</t>
  </si>
  <si>
    <t>企贷300-500万，由省与市县1:1分担</t>
  </si>
  <si>
    <t>企贷400-500万，由省与市县1:1分担</t>
  </si>
  <si>
    <t>咸安区</t>
  </si>
  <si>
    <t>嘉鱼县</t>
  </si>
  <si>
    <t>赤壁市</t>
  </si>
  <si>
    <t>说明：2023年10月1日起，个贷和企贷的央行基础利率须为央行发布的1年期LPR。</t>
  </si>
  <si>
    <t>随州市(本级)</t>
  </si>
  <si>
    <t>曾都区</t>
  </si>
  <si>
    <t>广水市</t>
  </si>
  <si>
    <t xml:space="preserve"> </t>
  </si>
  <si>
    <t>随县</t>
  </si>
  <si>
    <t>仙桃市</t>
  </si>
  <si>
    <t>天门市</t>
  </si>
  <si>
    <t>潜江市</t>
  </si>
  <si>
    <t>金额单位：万元</t>
  </si>
  <si>
    <t>编号</t>
  </si>
  <si>
    <t>姓名</t>
  </si>
  <si>
    <t>性别</t>
  </si>
  <si>
    <t>身份证号</t>
  </si>
  <si>
    <t>贷款发生地县(市区)名称</t>
  </si>
  <si>
    <t>经营地址(乡镇街道路号)</t>
  </si>
  <si>
    <t>是否贫困地区</t>
  </si>
  <si>
    <t>地区类型</t>
  </si>
  <si>
    <t>贷款类别</t>
  </si>
  <si>
    <t>合伙人数</t>
  </si>
  <si>
    <t>重点就业群体</t>
  </si>
  <si>
    <t>贷款用途</t>
  </si>
  <si>
    <t>贷款发放
银行名称</t>
  </si>
  <si>
    <t>贷款金额</t>
  </si>
  <si>
    <t>贷款日期</t>
  </si>
  <si>
    <t>贷款利率%</t>
  </si>
  <si>
    <t>第一季度</t>
  </si>
  <si>
    <t>第二季度</t>
  </si>
  <si>
    <t>第三季度</t>
  </si>
  <si>
    <t>第四季度</t>
  </si>
  <si>
    <t>央行基础利率</t>
  </si>
  <si>
    <t>基准利率校验</t>
  </si>
  <si>
    <t>上浮幅度</t>
  </si>
  <si>
    <t>符合中央标准</t>
  </si>
  <si>
    <t>符合省级标准</t>
  </si>
  <si>
    <t>贷款利息(按贷款金额和贷款利率计算)</t>
  </si>
  <si>
    <t>符合中央标准贷款贴息金额(按贴息利率计算)</t>
  </si>
  <si>
    <t>符合省级标准地方自行承担贴息金额(按贴息利率计算)</t>
  </si>
  <si>
    <t>个人
承担利息</t>
  </si>
  <si>
    <t>贷款利息</t>
  </si>
  <si>
    <t>金额</t>
  </si>
  <si>
    <t>校验</t>
  </si>
  <si>
    <t>合同签定
日期</t>
  </si>
  <si>
    <t>起期</t>
  </si>
  <si>
    <t>止期</t>
  </si>
  <si>
    <t>起止期校验</t>
  </si>
  <si>
    <t>提前还款
日期</t>
  </si>
  <si>
    <t>幅度</t>
  </si>
  <si>
    <t>合计</t>
  </si>
  <si>
    <t>中央/中央+省级</t>
  </si>
  <si>
    <t>省级</t>
  </si>
  <si>
    <t>市县</t>
  </si>
  <si>
    <t>上限</t>
  </si>
  <si>
    <t>***</t>
  </si>
  <si>
    <t>420106200001010329</t>
  </si>
  <si>
    <t>武昌区</t>
  </si>
  <si>
    <t>水果湖街洪山路888号</t>
  </si>
  <si>
    <t>如市县自行扩大贷款额度，产生的利息市县自行承担，可列进表中，则O列校验要踢除，同时将Z、AA列中关于O列的条件删除，如此就OK了</t>
  </si>
  <si>
    <t>7行整行、8行绿色单元格已锁定</t>
  </si>
  <si>
    <t>企业名称</t>
  </si>
  <si>
    <t>企业性质</t>
  </si>
  <si>
    <t>社会信用代码</t>
  </si>
  <si>
    <t>现有在职职工人数</t>
  </si>
  <si>
    <t>当年招用符合条件人数</t>
  </si>
  <si>
    <t>贷款利息(按贷款金额和贴息利率计算)</t>
  </si>
  <si>
    <t>符合省级标准按规定分担或由地方自行承担贴息金额(按贴息利率计算)</t>
  </si>
  <si>
    <t>企业
承担利息</t>
  </si>
  <si>
    <t>人数</t>
  </si>
  <si>
    <t>市县自行承担</t>
  </si>
  <si>
    <t>******</t>
  </si>
  <si>
    <t>**</t>
  </si>
  <si>
    <t>420106000000000000</t>
  </si>
  <si>
    <t>单位：笔,万元,人</t>
  </si>
  <si>
    <t>单位</t>
  </si>
  <si>
    <t>新发放贷款笔数</t>
  </si>
  <si>
    <t>新发放贷款金额</t>
  </si>
  <si>
    <t>新发放贷款涉及就业人数</t>
  </si>
  <si>
    <t>企贷</t>
  </si>
  <si>
    <t>中央财政给予贴息支持的贷款</t>
  </si>
  <si>
    <t>地方财政自行安排贴息的贷款</t>
  </si>
  <si>
    <t>2023年10月后</t>
  </si>
  <si>
    <t>2023年10月前</t>
  </si>
  <si>
    <t>季末未解除还款责任贷款笔数</t>
  </si>
  <si>
    <t>季末贷款余额</t>
  </si>
  <si>
    <t>应贴息金额</t>
  </si>
  <si>
    <t>中央财政给予支持的贴息</t>
  </si>
  <si>
    <t>地方财政自行安排贴息</t>
  </si>
  <si>
    <t>单位：万元</t>
  </si>
  <si>
    <t>本季发放贷款金额</t>
  </si>
  <si>
    <t>本季贴息</t>
  </si>
  <si>
    <t>小计</t>
  </si>
  <si>
    <t>工商银行</t>
  </si>
  <si>
    <t>农业银行</t>
  </si>
  <si>
    <t>中国银行</t>
  </si>
  <si>
    <t>建设银行</t>
  </si>
  <si>
    <t>交通银行</t>
  </si>
  <si>
    <t>邮储银行</t>
  </si>
  <si>
    <t>招商银行</t>
  </si>
  <si>
    <t>中信银行</t>
  </si>
  <si>
    <t>光大银行</t>
  </si>
  <si>
    <t>华夏银行</t>
  </si>
  <si>
    <t>浦发银行</t>
  </si>
  <si>
    <t>民生银行</t>
  </si>
  <si>
    <t>广发银行</t>
  </si>
  <si>
    <t>兴业银行</t>
  </si>
  <si>
    <t>平安银行</t>
  </si>
  <si>
    <t>其他股份银行</t>
  </si>
  <si>
    <t>其他股份银行2</t>
  </si>
  <si>
    <t>其他股份银行3</t>
  </si>
  <si>
    <t>湖北银行</t>
  </si>
  <si>
    <t>汉口银行</t>
  </si>
  <si>
    <t>其他城商行</t>
  </si>
  <si>
    <t>其他城商行2</t>
  </si>
  <si>
    <t>其他城商行3</t>
  </si>
  <si>
    <t>农商行</t>
  </si>
  <si>
    <t>国开行</t>
  </si>
  <si>
    <t>进出口行</t>
  </si>
  <si>
    <t>农发行</t>
  </si>
  <si>
    <t>其他银行</t>
  </si>
  <si>
    <t>其他银行2</t>
  </si>
  <si>
    <t>其他银行3</t>
  </si>
  <si>
    <t>年末未解除还款责任贷款笔数</t>
  </si>
  <si>
    <t>年末贷款余额</t>
  </si>
  <si>
    <t>本年发放贷款金额</t>
  </si>
  <si>
    <t>本年贴息</t>
  </si>
  <si>
    <t>填  报  日  期：</t>
  </si>
  <si>
    <t>填报(审核)单位：</t>
  </si>
  <si>
    <t>单位：万元,%</t>
  </si>
  <si>
    <t>项目</t>
  </si>
  <si>
    <t>当年个人创业担保贷款发放额</t>
  </si>
  <si>
    <t>当年个人创业担保贷款月均余额</t>
  </si>
  <si>
    <t>当年个人创业担保贷款年末余额</t>
  </si>
  <si>
    <t>年末担保基金余额</t>
  </si>
  <si>
    <t>符合中央财政奖补标准的贷款</t>
  </si>
  <si>
    <t>不符合中央财政奖补标准的贷款</t>
  </si>
  <si>
    <t>2023年10月及之后</t>
  </si>
  <si>
    <t>2023年10月之前</t>
  </si>
  <si>
    <t>当年小微企业担保贷款发放额</t>
  </si>
  <si>
    <t>当年小微企业担保贷款月均余额</t>
  </si>
  <si>
    <t>当年小微企业担保贷款年末余额</t>
  </si>
  <si>
    <t>不符合中央标准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</si>
  <si>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</si>
  <si>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</si>
  <si>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</si>
  <si>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</si>
  <si>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</si>
  <si>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</si>
  <si>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</si>
  <si>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</si>
  <si>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</si>
  <si>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</si>
  <si>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</si>
  <si>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</si>
  <si>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非数值单元格查验转换</t>
  </si>
  <si>
    <t>1.将7行往下复制到与个贷明细一样的行数。2.如出现#value!，表明对应表中使用了非数值的单元格。</t>
  </si>
  <si>
    <t>1.将7行往下复制到与企贷明细一样的行数。2.如出现#value!，表明对应表中使用了非数值的单元格。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</si>
</sst>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  <numFmt numFmtId="178" formatCode="0_ "/>
    <numFmt numFmtId="179" formatCode="0.00_ "/>
  </numFmts>
  <fonts count="4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Arial Narrow"/>
      <charset val="134"/>
    </font>
    <font>
      <sz val="11"/>
      <name val="Arial Narrow"/>
      <charset val="134"/>
    </font>
    <font>
      <sz val="10"/>
      <color theme="1"/>
      <name val="宋体"/>
      <charset val="134"/>
      <scheme val="minor"/>
    </font>
    <font>
      <sz val="11"/>
      <color rgb="FFFF0000"/>
      <name val="Arial Narrow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8" tint="0.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2"/>
      <name val="宋体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1"/>
      <color theme="0" tint="-0.05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Meiryo UI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6" fillId="16" borderId="21" applyNumberFormat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38" fillId="17" borderId="22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 shrinkToFit="1"/>
    </xf>
    <xf numFmtId="0" fontId="0" fillId="0" borderId="0" xfId="0" applyNumberFormat="1" applyFont="1" applyFill="1" applyAlignment="1" applyProtection="1">
      <alignment vertical="center" shrinkToFit="1"/>
    </xf>
    <xf numFmtId="177" fontId="0" fillId="2" borderId="0" xfId="0" applyNumberFormat="1" applyFont="1" applyFill="1" applyAlignment="1" applyProtection="1">
      <alignment vertical="center" shrinkToFit="1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6" fontId="0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5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 applyFo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right" vertical="center"/>
      <protection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6" fillId="0" borderId="0" xfId="0" applyFont="1" applyFill="1" applyProtection="1">
      <alignment vertical="center"/>
      <protection hidden="1"/>
    </xf>
    <xf numFmtId="178" fontId="4" fillId="0" borderId="0" xfId="0" applyNumberFormat="1" applyFont="1" applyFill="1" applyAlignment="1" applyProtection="1">
      <alignment horizontal="center" vertical="center"/>
      <protection hidden="1"/>
    </xf>
    <xf numFmtId="179" fontId="4" fillId="0" borderId="0" xfId="0" applyNumberFormat="1" applyFont="1" applyFill="1" applyAlignment="1" applyProtection="1">
      <alignment horizontal="center" vertical="center"/>
      <protection hidden="1"/>
    </xf>
    <xf numFmtId="179" fontId="4" fillId="0" borderId="0" xfId="0" applyNumberFormat="1" applyFont="1" applyFill="1" applyAlignment="1" applyProtection="1">
      <alignment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178" fontId="5" fillId="0" borderId="1" xfId="0" applyNumberFormat="1" applyFont="1" applyFill="1" applyBorder="1" applyAlignment="1" applyProtection="1">
      <alignment horizontal="center" vertical="center"/>
      <protection hidden="1"/>
    </xf>
    <xf numFmtId="179" fontId="5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178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178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8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178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alignment vertical="center"/>
      <protection hidden="1"/>
    </xf>
    <xf numFmtId="0" fontId="7" fillId="0" borderId="1" xfId="0" applyFont="1" applyFill="1" applyBorder="1" applyAlignment="1" applyProtection="1">
      <alignment vertical="center" shrinkToFit="1"/>
      <protection hidden="1"/>
    </xf>
    <xf numFmtId="0" fontId="0" fillId="0" borderId="1" xfId="0" applyFill="1" applyBorder="1" applyAlignment="1" applyProtection="1">
      <alignment horizontal="right" vertical="center"/>
      <protection hidden="1"/>
    </xf>
    <xf numFmtId="179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79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79" fontId="5" fillId="0" borderId="6" xfId="0" applyNumberFormat="1" applyFont="1" applyFill="1" applyBorder="1" applyAlignment="1" applyProtection="1">
      <alignment horizontal="center" vertical="center"/>
      <protection hidden="1"/>
    </xf>
    <xf numFmtId="179" fontId="5" fillId="0" borderId="8" xfId="0" applyNumberFormat="1" applyFont="1" applyFill="1" applyBorder="1" applyAlignment="1" applyProtection="1">
      <alignment horizontal="center" vertical="center"/>
      <protection hidden="1"/>
    </xf>
    <xf numFmtId="17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vertical="center"/>
      <protection hidden="1"/>
    </xf>
    <xf numFmtId="178" fontId="5" fillId="0" borderId="0" xfId="0" applyNumberFormat="1" applyFont="1" applyFill="1" applyAlignment="1" applyProtection="1">
      <alignment horizontal="right" vertical="center"/>
      <protection hidden="1"/>
    </xf>
    <xf numFmtId="179" fontId="5" fillId="0" borderId="9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vertical="center" shrinkToFit="1"/>
      <protection hidden="1"/>
    </xf>
    <xf numFmtId="0" fontId="9" fillId="0" borderId="0" xfId="0" applyFont="1" applyFill="1" applyProtection="1">
      <alignment vertical="center"/>
      <protection hidden="1"/>
    </xf>
    <xf numFmtId="0" fontId="9" fillId="0" borderId="0" xfId="0" applyFont="1" applyFill="1" applyAlignment="1" applyProtection="1">
      <alignment horizontal="right"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0" fillId="0" borderId="1" xfId="0" applyFont="1" applyFill="1" applyBorder="1" applyAlignment="1" applyProtection="1">
      <alignment vertical="center" shrinkToFit="1"/>
      <protection hidden="1"/>
    </xf>
    <xf numFmtId="0" fontId="3" fillId="3" borderId="1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alignment vertical="center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177" fontId="9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49" fontId="5" fillId="0" borderId="1" xfId="8" applyNumberFormat="1" applyFont="1" applyFill="1" applyBorder="1" applyAlignment="1" applyProtection="1">
      <alignment horizontal="center" vertical="center"/>
      <protection hidden="1"/>
    </xf>
    <xf numFmtId="49" fontId="5" fillId="0" borderId="2" xfId="8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vertical="center" shrinkToFit="1"/>
      <protection hidden="1"/>
    </xf>
    <xf numFmtId="0" fontId="9" fillId="0" borderId="8" xfId="0" applyFont="1" applyBorder="1" applyAlignment="1" applyProtection="1">
      <alignment vertical="center" shrinkToFit="1"/>
      <protection hidden="1"/>
    </xf>
    <xf numFmtId="0" fontId="9" fillId="0" borderId="8" xfId="0" applyFont="1" applyBorder="1" applyAlignment="1" applyProtection="1">
      <alignment horizontal="right" vertical="center" shrinkToFit="1"/>
      <protection hidden="1"/>
    </xf>
    <xf numFmtId="0" fontId="9" fillId="0" borderId="9" xfId="0" applyFont="1" applyBorder="1" applyAlignment="1" applyProtection="1">
      <alignment vertical="center" shrinkToFit="1"/>
      <protection hidden="1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0" fontId="9" fillId="4" borderId="5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177" fontId="9" fillId="0" borderId="0" xfId="0" applyNumberFormat="1" applyFo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77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9" xfId="0" applyFont="1" applyFill="1" applyBorder="1" applyAlignment="1" applyProtection="1">
      <alignment vertical="center" shrinkToFit="1"/>
      <protection hidden="1"/>
    </xf>
    <xf numFmtId="0" fontId="9" fillId="4" borderId="1" xfId="0" applyFont="1" applyFill="1" applyBorder="1" applyAlignment="1" applyProtection="1">
      <alignment vertical="center" shrinkToFit="1"/>
      <protection hidden="1"/>
    </xf>
    <xf numFmtId="0" fontId="9" fillId="5" borderId="1" xfId="0" applyFont="1" applyFill="1" applyBorder="1" applyAlignment="1" applyProtection="1">
      <alignment vertical="center" shrinkToFit="1"/>
      <protection hidden="1"/>
    </xf>
    <xf numFmtId="0" fontId="9" fillId="5" borderId="1" xfId="0" applyFont="1" applyFill="1" applyBorder="1" applyAlignment="1" applyProtection="1">
      <alignment horizontal="center" vertical="center" shrinkToFit="1"/>
      <protection hidden="1"/>
    </xf>
    <xf numFmtId="177" fontId="9" fillId="5" borderId="1" xfId="0" applyNumberFormat="1" applyFont="1" applyFill="1" applyBorder="1" applyAlignment="1" applyProtection="1">
      <alignment vertical="center" shrinkToFit="1"/>
      <protection hidden="1"/>
    </xf>
    <xf numFmtId="0" fontId="11" fillId="0" borderId="1" xfId="0" applyFont="1" applyFill="1" applyBorder="1" applyAlignment="1" applyProtection="1">
      <alignment vertical="center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</xf>
    <xf numFmtId="177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Protection="1">
      <alignment vertical="center"/>
      <protection locked="0"/>
    </xf>
    <xf numFmtId="177" fontId="11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hidden="1"/>
    </xf>
    <xf numFmtId="177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11" fillId="4" borderId="1" xfId="0" applyNumberFormat="1" applyFont="1" applyFill="1" applyBorder="1" applyAlignment="1" applyProtection="1">
      <alignment horizontal="center" vertical="center" shrinkToFit="1"/>
    </xf>
    <xf numFmtId="177" fontId="11" fillId="0" borderId="1" xfId="0" applyNumberFormat="1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shrinkToFit="1"/>
      <protection locked="0"/>
    </xf>
    <xf numFmtId="0" fontId="9" fillId="4" borderId="1" xfId="0" applyFont="1" applyFill="1" applyBorder="1" applyAlignment="1" applyProtection="1">
      <alignment vertical="center" shrinkToFit="1"/>
    </xf>
    <xf numFmtId="177" fontId="1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1" xfId="0" applyFont="1" applyFill="1" applyBorder="1" applyAlignment="1" applyProtection="1">
      <alignment vertical="center" shrinkToFit="1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14" fontId="14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 shrinkToFit="1"/>
      <protection hidden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</xf>
    <xf numFmtId="0" fontId="18" fillId="0" borderId="0" xfId="0" applyFont="1" applyProtection="1">
      <alignment vertical="center"/>
      <protection hidden="1"/>
    </xf>
    <xf numFmtId="14" fontId="19" fillId="0" borderId="10" xfId="0" applyNumberFormat="1" applyFont="1" applyFill="1" applyBorder="1" applyAlignment="1" applyProtection="1">
      <alignment horizontal="center" vertical="center"/>
      <protection locked="0"/>
    </xf>
    <xf numFmtId="14" fontId="20" fillId="6" borderId="0" xfId="0" applyNumberFormat="1" applyFont="1" applyFill="1" applyBorder="1" applyAlignment="1" applyProtection="1">
      <alignment horizontal="center" vertical="center"/>
      <protection hidden="1"/>
    </xf>
    <xf numFmtId="14" fontId="20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Border="1" applyProtection="1">
      <alignment vertical="center"/>
    </xf>
    <xf numFmtId="9" fontId="2" fillId="0" borderId="0" xfId="0" applyNumberFormat="1" applyFont="1" applyFill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shrinkToFit="1"/>
    </xf>
    <xf numFmtId="0" fontId="20" fillId="0" borderId="6" xfId="0" applyFont="1" applyBorder="1" applyAlignment="1" applyProtection="1">
      <alignment horizontal="center" vertical="center" shrinkToFit="1"/>
    </xf>
    <xf numFmtId="0" fontId="20" fillId="0" borderId="9" xfId="0" applyFont="1" applyBorder="1" applyAlignment="1" applyProtection="1">
      <alignment horizontal="center" vertical="center" shrinkToFit="1"/>
    </xf>
    <xf numFmtId="0" fontId="14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177" fontId="14" fillId="0" borderId="2" xfId="0" applyNumberFormat="1" applyFont="1" applyBorder="1" applyAlignment="1" applyProtection="1">
      <alignment horizontal="center" vertical="center" wrapText="1"/>
    </xf>
    <xf numFmtId="177" fontId="14" fillId="0" borderId="1" xfId="0" applyNumberFormat="1" applyFont="1" applyBorder="1" applyAlignment="1" applyProtection="1">
      <alignment horizontal="center" vertical="center"/>
    </xf>
    <xf numFmtId="46" fontId="20" fillId="0" borderId="6" xfId="0" applyNumberFormat="1" applyFont="1" applyBorder="1" applyAlignment="1" applyProtection="1">
      <alignment horizontal="center" vertical="center"/>
    </xf>
    <xf numFmtId="46" fontId="20" fillId="0" borderId="8" xfId="0" applyNumberFormat="1" applyFont="1" applyBorder="1" applyAlignment="1" applyProtection="1">
      <alignment horizontal="center" vertical="center"/>
    </xf>
    <xf numFmtId="177" fontId="14" fillId="0" borderId="5" xfId="0" applyNumberFormat="1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</xf>
    <xf numFmtId="0" fontId="23" fillId="0" borderId="0" xfId="0" applyFont="1" applyProtection="1">
      <alignment vertical="center"/>
      <protection hidden="1"/>
    </xf>
    <xf numFmtId="177" fontId="20" fillId="6" borderId="0" xfId="0" applyNumberFormat="1" applyFont="1" applyFill="1" applyAlignment="1" applyProtection="1">
      <alignment horizontal="left" vertical="center"/>
    </xf>
    <xf numFmtId="0" fontId="20" fillId="6" borderId="0" xfId="0" applyFont="1" applyFill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14" fontId="20" fillId="0" borderId="6" xfId="0" applyNumberFormat="1" applyFont="1" applyFill="1" applyBorder="1" applyAlignment="1" applyProtection="1">
      <alignment horizontal="center" vertical="center"/>
    </xf>
    <xf numFmtId="14" fontId="20" fillId="0" borderId="9" xfId="0" applyNumberFormat="1" applyFont="1" applyFill="1" applyBorder="1" applyAlignment="1" applyProtection="1">
      <alignment horizontal="center" vertical="center"/>
    </xf>
    <xf numFmtId="177" fontId="20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4" xfId="0" applyFont="1" applyFill="1" applyBorder="1" applyProtection="1">
      <alignment vertical="center"/>
      <protection locked="0"/>
    </xf>
    <xf numFmtId="0" fontId="20" fillId="0" borderId="11" xfId="0" applyFont="1" applyFill="1" applyBorder="1" applyProtection="1">
      <alignment vertical="center"/>
      <protection locked="0"/>
    </xf>
    <xf numFmtId="0" fontId="24" fillId="0" borderId="0" xfId="10" applyFont="1" applyAlignment="1" applyProtection="1">
      <alignment vertical="center"/>
      <protection locked="0"/>
    </xf>
    <xf numFmtId="177" fontId="20" fillId="0" borderId="14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Protection="1">
      <alignment vertical="center"/>
      <protection locked="0"/>
    </xf>
    <xf numFmtId="0" fontId="20" fillId="0" borderId="15" xfId="0" applyFont="1" applyFill="1" applyBorder="1" applyProtection="1">
      <alignment vertical="center"/>
      <protection locked="0"/>
    </xf>
    <xf numFmtId="46" fontId="20" fillId="0" borderId="9" xfId="0" applyNumberFormat="1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 wrapText="1"/>
    </xf>
    <xf numFmtId="0" fontId="14" fillId="0" borderId="11" xfId="0" applyFont="1" applyBorder="1" applyAlignment="1" applyProtection="1">
      <alignment vertical="center" wrapText="1"/>
    </xf>
    <xf numFmtId="0" fontId="20" fillId="0" borderId="3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177" fontId="14" fillId="0" borderId="7" xfId="0" applyNumberFormat="1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4" fillId="0" borderId="15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vertical="center" wrapText="1"/>
    </xf>
    <xf numFmtId="0" fontId="14" fillId="0" borderId="16" xfId="0" applyFont="1" applyBorder="1" applyAlignment="1" applyProtection="1">
      <alignment vertical="center" wrapText="1"/>
    </xf>
    <xf numFmtId="0" fontId="14" fillId="0" borderId="13" xfId="0" applyFont="1" applyBorder="1" applyAlignment="1" applyProtection="1">
      <alignment vertical="center" wrapText="1"/>
    </xf>
    <xf numFmtId="0" fontId="25" fillId="0" borderId="0" xfId="10" applyProtection="1">
      <alignment vertical="center"/>
    </xf>
    <xf numFmtId="0" fontId="21" fillId="0" borderId="15" xfId="0" applyFont="1" applyBorder="1" applyAlignment="1" applyProtection="1">
      <alignment horizontal="center" vertical="center" wrapText="1"/>
    </xf>
    <xf numFmtId="177" fontId="20" fillId="0" borderId="12" xfId="0" applyNumberFormat="1" applyFont="1" applyFill="1" applyBorder="1" applyAlignment="1" applyProtection="1">
      <alignment horizontal="left" vertical="center"/>
      <protection locked="0"/>
    </xf>
    <xf numFmtId="0" fontId="20" fillId="0" borderId="16" xfId="0" applyFont="1" applyFill="1" applyBorder="1" applyProtection="1">
      <alignment vertical="center"/>
      <protection locked="0"/>
    </xf>
    <xf numFmtId="0" fontId="20" fillId="0" borderId="13" xfId="0" applyFont="1" applyFill="1" applyBorder="1" applyProtection="1">
      <alignment vertical="center"/>
      <protection locked="0"/>
    </xf>
    <xf numFmtId="0" fontId="22" fillId="0" borderId="0" xfId="0" applyFont="1" applyFill="1" applyAlignment="1" applyProtection="1" quotePrefix="1">
      <alignment horizontal="right" vertical="center"/>
    </xf>
    <xf numFmtId="46" fontId="20" fillId="0" borderId="6" xfId="0" applyNumberFormat="1" applyFont="1" applyBorder="1" applyAlignment="1" applyProtection="1" quotePrefix="1">
      <alignment horizontal="center" vertical="center"/>
    </xf>
    <xf numFmtId="49" fontId="9" fillId="0" borderId="1" xfId="0" applyNumberFormat="1" applyFont="1" applyBorder="1" applyAlignment="1" applyProtection="1" quotePrefix="1">
      <alignment horizontal="center" vertical="center"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BEC88"/>
      <color rgb="00F3B701"/>
      <color rgb="00FEC62E"/>
      <color rgb="00FFF7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857250</xdr:colOff>
      <xdr:row>66</xdr:row>
      <xdr:rowOff>66675</xdr:rowOff>
    </xdr:from>
    <xdr:to>
      <xdr:col>7</xdr:col>
      <xdr:colOff>0</xdr:colOff>
      <xdr:row>67</xdr:row>
      <xdr:rowOff>104775</xdr:rowOff>
    </xdr:to>
    <xdr:cxnSp>
      <xdr:nvCxnSpPr>
        <xdr:cNvPr id="4" name="直接箭头连接符 3"/>
        <xdr:cNvCxnSpPr/>
      </xdr:nvCxnSpPr>
      <xdr:spPr>
        <a:xfrm flipH="1">
          <a:off x="4514850" y="12230100"/>
          <a:ext cx="1066800" cy="219075"/>
        </a:xfrm>
        <a:prstGeom prst="straightConnector1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771525</xdr:colOff>
      <xdr:row>68</xdr:row>
      <xdr:rowOff>161925</xdr:rowOff>
    </xdr:from>
    <xdr:to>
      <xdr:col>5</xdr:col>
      <xdr:colOff>0</xdr:colOff>
      <xdr:row>70</xdr:row>
      <xdr:rowOff>114300</xdr:rowOff>
    </xdr:to>
    <xdr:cxnSp>
      <xdr:nvCxnSpPr>
        <xdr:cNvPr id="5" name="直接箭头连接符 4"/>
        <xdr:cNvCxnSpPr/>
      </xdr:nvCxnSpPr>
      <xdr:spPr>
        <a:xfrm flipH="1" flipV="1">
          <a:off x="4429125" y="12687300"/>
          <a:ext cx="142875" cy="314325"/>
        </a:xfrm>
        <a:prstGeom prst="straightConnector1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64</xdr:row>
      <xdr:rowOff>142875</xdr:rowOff>
    </xdr:from>
    <xdr:to>
      <xdr:col>7</xdr:col>
      <xdr:colOff>85090</xdr:colOff>
      <xdr:row>68</xdr:row>
      <xdr:rowOff>19050</xdr:rowOff>
    </xdr:to>
    <xdr:sp>
      <xdr:nvSpPr>
        <xdr:cNvPr id="6" name="左大括号 5"/>
        <xdr:cNvSpPr/>
      </xdr:nvSpPr>
      <xdr:spPr>
        <a:xfrm>
          <a:off x="5591175" y="11944350"/>
          <a:ext cx="75565" cy="600075"/>
        </a:xfrm>
        <a:prstGeom prst="leftBrace">
          <a:avLst/>
        </a:prstGeom>
        <a:ln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9525</xdr:colOff>
      <xdr:row>69</xdr:row>
      <xdr:rowOff>95250</xdr:rowOff>
    </xdr:from>
    <xdr:to>
      <xdr:col>5</xdr:col>
      <xdr:colOff>85090</xdr:colOff>
      <xdr:row>71</xdr:row>
      <xdr:rowOff>142875</xdr:rowOff>
    </xdr:to>
    <xdr:sp>
      <xdr:nvSpPr>
        <xdr:cNvPr id="9" name="左大括号 8"/>
        <xdr:cNvSpPr/>
      </xdr:nvSpPr>
      <xdr:spPr>
        <a:xfrm>
          <a:off x="4581525" y="12801600"/>
          <a:ext cx="75565" cy="409575"/>
        </a:xfrm>
        <a:prstGeom prst="leftBrace">
          <a:avLst/>
        </a:prstGeom>
        <a:ln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bc.gov.cn/zhengcehuobisi/125207/125213/125440/index.html" TargetMode="Externa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2"/>
  <sheetViews>
    <sheetView tabSelected="1" workbookViewId="0">
      <pane ySplit="20" topLeftCell="A21" activePane="bottomLeft" state="frozen"/>
      <selection/>
      <selection pane="bottomLeft" activeCell="A10" sqref="A10:K12"/>
    </sheetView>
  </sheetViews>
  <sheetFormatPr defaultColWidth="9" defaultRowHeight="13.5"/>
  <cols>
    <col min="1" max="5" width="12" style="149" customWidth="1"/>
    <col min="6" max="6" width="6.875" style="149" customWidth="1"/>
    <col min="7" max="11" width="6.375" style="149" customWidth="1"/>
    <col min="12" max="12" width="2.75" style="149" customWidth="1"/>
    <col min="13" max="13" width="10.375" style="150" customWidth="1"/>
    <col min="14" max="15" width="9.75" style="149" customWidth="1"/>
    <col min="16" max="16384" width="9" style="149"/>
  </cols>
  <sheetData>
    <row r="1" ht="28.5" spans="1:15">
      <c r="A1" s="151" t="str">
        <f>B22&amp;(IF(YEAR(D23)&lt;2021/1/1,"0000",YEAR(D23)))&amp;C28&amp;A27</f>
        <v>***市县2025年创业担保贷款财政贴息报表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M1" s="191" t="s">
        <v>0</v>
      </c>
      <c r="N1" s="192" t="s">
        <v>1</v>
      </c>
      <c r="O1" s="192" t="s">
        <v>2</v>
      </c>
    </row>
    <row r="2" ht="14.25" spans="1:15">
      <c r="A2" s="152" t="s">
        <v>3</v>
      </c>
      <c r="B2" s="152"/>
      <c r="J2" s="235" t="s">
        <v>4</v>
      </c>
      <c r="K2" s="193"/>
      <c r="L2" s="194" t="s">
        <v>5</v>
      </c>
      <c r="M2" s="195">
        <v>43819</v>
      </c>
      <c r="N2" s="196">
        <v>4.15</v>
      </c>
      <c r="O2" s="197">
        <v>4.8</v>
      </c>
    </row>
    <row r="3" ht="14.25" spans="1:15">
      <c r="A3" s="153" t="s">
        <v>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94" t="s">
        <v>7</v>
      </c>
      <c r="M3" s="195">
        <v>43850</v>
      </c>
      <c r="N3" s="196">
        <v>4.15</v>
      </c>
      <c r="O3" s="197">
        <v>4.8</v>
      </c>
    </row>
    <row r="4" ht="14.25" spans="1: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94" t="s">
        <v>8</v>
      </c>
      <c r="M4" s="195">
        <v>43881</v>
      </c>
      <c r="N4" s="196">
        <v>4.05</v>
      </c>
      <c r="O4" s="197">
        <v>4.75</v>
      </c>
    </row>
    <row r="5" ht="14.25" spans="1:15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94" t="s">
        <v>9</v>
      </c>
      <c r="M5" s="195">
        <v>43910</v>
      </c>
      <c r="N5" s="196">
        <v>4.05</v>
      </c>
      <c r="O5" s="197">
        <v>4.75</v>
      </c>
    </row>
    <row r="6" ht="14.25" spans="1:1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94" t="s">
        <v>10</v>
      </c>
      <c r="M6" s="195">
        <v>43941</v>
      </c>
      <c r="N6" s="196">
        <v>3.85</v>
      </c>
      <c r="O6" s="197">
        <v>4.65</v>
      </c>
    </row>
    <row r="7" ht="14.25" spans="1:15">
      <c r="A7" s="154" t="s">
        <v>11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94" t="s">
        <v>12</v>
      </c>
      <c r="M7" s="195">
        <v>43971</v>
      </c>
      <c r="N7" s="196">
        <v>3.85</v>
      </c>
      <c r="O7" s="197">
        <v>4.65</v>
      </c>
    </row>
    <row r="8" ht="14.25" spans="1:15">
      <c r="A8" s="155" t="s">
        <v>13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94" t="s">
        <v>14</v>
      </c>
      <c r="M8" s="195">
        <v>44004</v>
      </c>
      <c r="N8" s="196">
        <v>3.85</v>
      </c>
      <c r="O8" s="197">
        <v>4.65</v>
      </c>
    </row>
    <row r="9" ht="14.25" spans="1:1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94" t="s">
        <v>15</v>
      </c>
      <c r="M9" s="195">
        <v>44032</v>
      </c>
      <c r="N9" s="196">
        <v>3.85</v>
      </c>
      <c r="O9" s="197">
        <v>4.65</v>
      </c>
    </row>
    <row r="10" ht="14.25" spans="1:15">
      <c r="A10" s="153" t="s">
        <v>16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94" t="s">
        <v>17</v>
      </c>
      <c r="M10" s="195">
        <v>44063</v>
      </c>
      <c r="N10" s="196">
        <v>3.85</v>
      </c>
      <c r="O10" s="197">
        <v>4.65</v>
      </c>
    </row>
    <row r="11" ht="14.25" spans="1:15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94" t="s">
        <v>18</v>
      </c>
      <c r="M11" s="195">
        <v>44095</v>
      </c>
      <c r="N11" s="196">
        <v>3.85</v>
      </c>
      <c r="O11" s="197">
        <v>4.65</v>
      </c>
    </row>
    <row r="12" ht="14.25" spans="1:15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94" t="s">
        <v>19</v>
      </c>
      <c r="M12" s="195">
        <v>44124</v>
      </c>
      <c r="N12" s="196">
        <v>3.85</v>
      </c>
      <c r="O12" s="197">
        <v>4.65</v>
      </c>
    </row>
    <row r="13" ht="14.25" spans="1:15">
      <c r="A13" s="156" t="s">
        <v>20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94" t="s">
        <v>21</v>
      </c>
      <c r="M13" s="195">
        <v>44155</v>
      </c>
      <c r="N13" s="196">
        <v>3.85</v>
      </c>
      <c r="O13" s="197">
        <v>4.65</v>
      </c>
    </row>
    <row r="14" ht="14.25" spans="1:15">
      <c r="A14" s="156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94" t="s">
        <v>22</v>
      </c>
      <c r="M14" s="195">
        <v>44186</v>
      </c>
      <c r="N14" s="196">
        <v>3.85</v>
      </c>
      <c r="O14" s="197">
        <v>4.65</v>
      </c>
    </row>
    <row r="15" ht="14.25" spans="1:15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94" t="s">
        <v>23</v>
      </c>
      <c r="M15" s="195">
        <v>44216</v>
      </c>
      <c r="N15" s="196">
        <v>3.85</v>
      </c>
      <c r="O15" s="197">
        <v>4.65</v>
      </c>
    </row>
    <row r="16" ht="14.25" spans="1:15">
      <c r="A16" s="156"/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94" t="s">
        <v>24</v>
      </c>
      <c r="M16" s="195">
        <v>44247</v>
      </c>
      <c r="N16" s="196">
        <v>3.85</v>
      </c>
      <c r="O16" s="197">
        <v>4.65</v>
      </c>
    </row>
    <row r="17" ht="14.25" spans="1:15">
      <c r="A17" s="154" t="s">
        <v>25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94" t="s">
        <v>26</v>
      </c>
      <c r="M17" s="195">
        <v>44277</v>
      </c>
      <c r="N17" s="196">
        <v>3.85</v>
      </c>
      <c r="O17" s="197">
        <v>4.65</v>
      </c>
    </row>
    <row r="18" ht="14.25" spans="1:15">
      <c r="A18" s="154" t="s">
        <v>27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94" t="s">
        <v>28</v>
      </c>
      <c r="M18" s="195">
        <v>44306</v>
      </c>
      <c r="N18" s="196">
        <v>3.85</v>
      </c>
      <c r="O18" s="197">
        <v>4.65</v>
      </c>
    </row>
    <row r="19" ht="14.25" spans="1:15">
      <c r="A19" s="157" t="s">
        <v>29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94" t="s">
        <v>30</v>
      </c>
      <c r="M19" s="195">
        <v>44336</v>
      </c>
      <c r="N19" s="196">
        <v>3.85</v>
      </c>
      <c r="O19" s="197">
        <v>4.65</v>
      </c>
    </row>
    <row r="20" ht="14.25" spans="1:15">
      <c r="A20" s="158" t="str">
        <f>IF(VALUE(报省!H5)&gt;0,,"年末担保基金余额未填")</f>
        <v>年末担保基金余额未填</v>
      </c>
      <c r="B20" s="158"/>
      <c r="C20" s="158" t="str">
        <f>"个贷明细:"&amp;COUNTIF(个贷明细!A8:AB666666,"错误")&amp;"项错误"&amp;COUNTIF(个贷明细!A8:AB666666,"超额")&amp;"项超额"&amp;COUNTIF(个贷明细!A8:AB666666,"检查")&amp;"项检查"</f>
        <v>个贷明细:3项错误0项超额0项检查</v>
      </c>
      <c r="D20" s="158"/>
      <c r="E20" s="158"/>
      <c r="F20" s="158" t="str">
        <f>"企贷明细:"&amp;COUNTIF(企贷明细!A8:AB666666,"错误")&amp;"项错误"&amp;COUNTIF(企贷明细!A8:AB666666,"超额")&amp;"项超额"&amp;COUNTIF(企贷明细!A8:AB666666,"检查")&amp;"项检查"</f>
        <v>企贷明细:4项错误0项超额0项检查</v>
      </c>
      <c r="G20" s="158"/>
      <c r="H20" s="158"/>
      <c r="I20" s="158"/>
      <c r="J20" s="158"/>
      <c r="K20" s="158"/>
      <c r="L20" s="194" t="s">
        <v>31</v>
      </c>
      <c r="M20" s="195">
        <v>44368</v>
      </c>
      <c r="N20" s="196">
        <v>3.85</v>
      </c>
      <c r="O20" s="197">
        <v>4.65</v>
      </c>
    </row>
    <row r="21" ht="15" spans="12:15">
      <c r="L21" s="194" t="s">
        <v>32</v>
      </c>
      <c r="M21" s="195">
        <v>44397</v>
      </c>
      <c r="N21" s="196">
        <v>3.85</v>
      </c>
      <c r="O21" s="197">
        <v>4.65</v>
      </c>
    </row>
    <row r="22" ht="15" spans="1:15">
      <c r="A22" s="152" t="s">
        <v>33</v>
      </c>
      <c r="B22" s="159" t="s">
        <v>5</v>
      </c>
      <c r="D22" s="160" t="s">
        <v>34</v>
      </c>
      <c r="E22" s="161" t="s">
        <v>35</v>
      </c>
      <c r="F22" s="161"/>
      <c r="G22" s="161"/>
      <c r="H22" s="161"/>
      <c r="I22" s="161"/>
      <c r="J22" s="161"/>
      <c r="K22" s="161"/>
      <c r="L22" s="194" t="s">
        <v>36</v>
      </c>
      <c r="M22" s="195">
        <v>44428</v>
      </c>
      <c r="N22" s="196">
        <v>3.85</v>
      </c>
      <c r="O22" s="197">
        <v>4.65</v>
      </c>
    </row>
    <row r="23" ht="15.75" spans="1:15">
      <c r="A23" s="162" t="s">
        <v>37</v>
      </c>
      <c r="C23" s="162" t="s">
        <v>38</v>
      </c>
      <c r="D23" s="163">
        <v>45658</v>
      </c>
      <c r="E23" s="164">
        <f>D23</f>
        <v>45658</v>
      </c>
      <c r="F23" s="164">
        <f>DATE(YEAR(E23),MONTH(E23)+3,DAY(E23))</f>
        <v>45748</v>
      </c>
      <c r="G23" s="164"/>
      <c r="H23" s="164">
        <f>DATE(YEAR(E23),MONTH(E23)+6,DAY(E23))</f>
        <v>45839</v>
      </c>
      <c r="I23" s="164"/>
      <c r="J23" s="164">
        <f>DATE(YEAR(E23),MONTH(E23)+9,DAY(E23))</f>
        <v>45931</v>
      </c>
      <c r="K23" s="164"/>
      <c r="L23" s="194" t="s">
        <v>39</v>
      </c>
      <c r="M23" s="195">
        <v>44461</v>
      </c>
      <c r="N23" s="196">
        <v>3.85</v>
      </c>
      <c r="O23" s="197">
        <v>4.65</v>
      </c>
    </row>
    <row r="24" ht="14.25" spans="1:15">
      <c r="A24" s="162" t="s">
        <v>40</v>
      </c>
      <c r="C24" s="162" t="s">
        <v>41</v>
      </c>
      <c r="D24" s="164">
        <f>DATE(YEAR(D23),MONTH(D23)+12,DAY(D23))-1</f>
        <v>46022</v>
      </c>
      <c r="E24" s="164">
        <f>DATE(YEAR(D23),MONTH(D23)+3,DAY(D23))-1</f>
        <v>45747</v>
      </c>
      <c r="F24" s="164">
        <f>DATE(YEAR(D23),MONTH(D23)+6,DAY(D23))-1</f>
        <v>45838</v>
      </c>
      <c r="G24" s="164"/>
      <c r="H24" s="164">
        <f>DATE(YEAR(D23),MONTH(D23)+9,DAY(D23))-1</f>
        <v>45930</v>
      </c>
      <c r="I24" s="164"/>
      <c r="J24" s="164">
        <f>DATE(YEAR(D23),MONTH(D23)+12,DAY(D23))-1</f>
        <v>46022</v>
      </c>
      <c r="K24" s="164"/>
      <c r="L24" s="194" t="s">
        <v>42</v>
      </c>
      <c r="M24" s="195">
        <v>44489</v>
      </c>
      <c r="N24" s="196">
        <v>3.85</v>
      </c>
      <c r="O24" s="197">
        <v>4.65</v>
      </c>
    </row>
    <row r="25" ht="14.25" spans="1:15">
      <c r="A25" s="162" t="s">
        <v>43</v>
      </c>
      <c r="C25" s="162" t="s">
        <v>44</v>
      </c>
      <c r="D25" s="165"/>
      <c r="E25" s="165"/>
      <c r="F25" s="165"/>
      <c r="G25" s="166"/>
      <c r="H25" s="165"/>
      <c r="I25" s="166"/>
      <c r="J25" s="165"/>
      <c r="K25" s="166"/>
      <c r="L25" s="194" t="s">
        <v>45</v>
      </c>
      <c r="M25" s="195">
        <v>44522</v>
      </c>
      <c r="N25" s="196">
        <v>3.85</v>
      </c>
      <c r="O25" s="197">
        <v>4.65</v>
      </c>
    </row>
    <row r="26" ht="14.25" spans="1:15">
      <c r="A26" s="162" t="s">
        <v>46</v>
      </c>
      <c r="C26" s="162" t="s">
        <v>47</v>
      </c>
      <c r="D26" s="160" t="s">
        <v>48</v>
      </c>
      <c r="E26" s="161" t="s">
        <v>49</v>
      </c>
      <c r="F26" s="161"/>
      <c r="G26" s="161"/>
      <c r="H26" s="161"/>
      <c r="I26" s="161"/>
      <c r="J26" s="161"/>
      <c r="K26" s="161"/>
      <c r="L26" s="194" t="s">
        <v>50</v>
      </c>
      <c r="M26" s="195">
        <v>44550</v>
      </c>
      <c r="N26" s="196">
        <v>3.8</v>
      </c>
      <c r="O26" s="197">
        <v>4.65</v>
      </c>
    </row>
    <row r="27" ht="14.25" spans="1:15">
      <c r="A27" s="162" t="s">
        <v>51</v>
      </c>
      <c r="C27" s="162" t="s">
        <v>52</v>
      </c>
      <c r="D27" s="164">
        <f>DATE(YEAR(D23),MONTH(E23),DAY(E23)-11)</f>
        <v>45647</v>
      </c>
      <c r="E27" s="164">
        <f>D27</f>
        <v>45647</v>
      </c>
      <c r="F27" s="164">
        <f>DATE(YEAR(D27),MONTH(D27)+3,DAY(D27))</f>
        <v>45737</v>
      </c>
      <c r="G27" s="164"/>
      <c r="H27" s="164">
        <f>DATE(YEAR(D27),MONTH(D27)+6,DAY(D27))</f>
        <v>45829</v>
      </c>
      <c r="I27" s="164"/>
      <c r="J27" s="164">
        <f>DATE(YEAR(D27),MONTH(D27)+9,DAY(D27))</f>
        <v>45921</v>
      </c>
      <c r="K27" s="164"/>
      <c r="L27" s="194" t="s">
        <v>53</v>
      </c>
      <c r="M27" s="195">
        <v>44581</v>
      </c>
      <c r="N27" s="196">
        <v>3.7</v>
      </c>
      <c r="O27" s="197">
        <v>4.6</v>
      </c>
    </row>
    <row r="28" ht="14.25" spans="2:15">
      <c r="B28" s="162" t="s">
        <v>54</v>
      </c>
      <c r="C28" s="162" t="s">
        <v>55</v>
      </c>
      <c r="D28" s="164">
        <f>DATE(YEAR(D27),MONTH(D27)+12,DAY(D27))-1</f>
        <v>46011</v>
      </c>
      <c r="E28" s="164">
        <f>DATE(YEAR(D27),MONTH(D27)+3,DAY(D27))-1</f>
        <v>45736</v>
      </c>
      <c r="F28" s="164">
        <f>DATE(YEAR(D27),MONTH(D27)+6,DAY(D27))-1</f>
        <v>45828</v>
      </c>
      <c r="G28" s="164"/>
      <c r="H28" s="164">
        <f>DATE(YEAR(D27),MONTH(D27)+9,DAY(D27))-1</f>
        <v>45920</v>
      </c>
      <c r="I28" s="164"/>
      <c r="J28" s="164">
        <f>DATE(YEAR(D27),MONTH(D27)+12,DAY(D27))-1</f>
        <v>46011</v>
      </c>
      <c r="K28" s="164"/>
      <c r="L28" s="194" t="s">
        <v>56</v>
      </c>
      <c r="M28" s="195">
        <v>44613</v>
      </c>
      <c r="N28" s="196">
        <v>3.7</v>
      </c>
      <c r="O28" s="197">
        <v>4.6</v>
      </c>
    </row>
    <row r="29" ht="14.25" spans="1:15">
      <c r="A29" s="167"/>
      <c r="B29" s="167"/>
      <c r="C29" s="167"/>
      <c r="D29" s="167"/>
      <c r="E29" s="167"/>
      <c r="F29" s="167"/>
      <c r="L29" s="194" t="s">
        <v>57</v>
      </c>
      <c r="M29" s="195">
        <v>44641</v>
      </c>
      <c r="N29" s="196">
        <v>3.7</v>
      </c>
      <c r="O29" s="197">
        <v>4.6</v>
      </c>
    </row>
    <row r="30" ht="14.25" spans="1:15">
      <c r="A30" s="152" t="s">
        <v>58</v>
      </c>
      <c r="B30" s="149" t="s">
        <v>59</v>
      </c>
      <c r="C30" s="149" t="s">
        <v>60</v>
      </c>
      <c r="D30" s="149" t="s">
        <v>61</v>
      </c>
      <c r="E30" s="162" t="s">
        <v>62</v>
      </c>
      <c r="F30" s="152" t="s">
        <v>63</v>
      </c>
      <c r="G30" s="152"/>
      <c r="H30" s="149" t="s">
        <v>45</v>
      </c>
      <c r="I30" s="149" t="s">
        <v>64</v>
      </c>
      <c r="J30" s="149" t="s">
        <v>65</v>
      </c>
      <c r="K30" s="149" t="s">
        <v>66</v>
      </c>
      <c r="L30" s="194" t="s">
        <v>67</v>
      </c>
      <c r="M30" s="195">
        <v>44671</v>
      </c>
      <c r="N30" s="196">
        <v>3.7</v>
      </c>
      <c r="O30" s="197">
        <v>4.6</v>
      </c>
    </row>
    <row r="31" ht="14.25" spans="1:15">
      <c r="A31" s="149" t="s">
        <v>17</v>
      </c>
      <c r="B31" s="149" t="s">
        <v>68</v>
      </c>
      <c r="C31" s="149" t="s">
        <v>69</v>
      </c>
      <c r="D31" s="149" t="s">
        <v>70</v>
      </c>
      <c r="F31" s="149" t="s">
        <v>17</v>
      </c>
      <c r="H31" s="149" t="s">
        <v>67</v>
      </c>
      <c r="I31" s="149" t="s">
        <v>71</v>
      </c>
      <c r="J31" s="149" t="s">
        <v>72</v>
      </c>
      <c r="K31" s="149" t="s">
        <v>73</v>
      </c>
      <c r="L31" s="194" t="s">
        <v>74</v>
      </c>
      <c r="M31" s="195">
        <v>44701</v>
      </c>
      <c r="N31" s="196">
        <v>3.7</v>
      </c>
      <c r="O31" s="197">
        <v>4.45</v>
      </c>
    </row>
    <row r="32" ht="14.25" spans="1:15">
      <c r="A32" s="149" t="s">
        <v>19</v>
      </c>
      <c r="B32" s="149" t="s">
        <v>75</v>
      </c>
      <c r="C32" s="149" t="s">
        <v>76</v>
      </c>
      <c r="D32" s="149" t="s">
        <v>77</v>
      </c>
      <c r="F32" s="149" t="s">
        <v>19</v>
      </c>
      <c r="H32" s="149" t="s">
        <v>74</v>
      </c>
      <c r="I32" s="149" t="s">
        <v>60</v>
      </c>
      <c r="J32" s="149" t="s">
        <v>62</v>
      </c>
      <c r="L32" s="194" t="s">
        <v>59</v>
      </c>
      <c r="M32" s="195">
        <v>44732</v>
      </c>
      <c r="N32" s="196">
        <v>3.7</v>
      </c>
      <c r="O32" s="197">
        <v>4.45</v>
      </c>
    </row>
    <row r="33" ht="14.25" spans="1:15">
      <c r="A33" s="149" t="s">
        <v>21</v>
      </c>
      <c r="B33" s="149" t="s">
        <v>78</v>
      </c>
      <c r="C33" s="149" t="s">
        <v>79</v>
      </c>
      <c r="D33" s="149" t="s">
        <v>80</v>
      </c>
      <c r="F33" s="149" t="s">
        <v>21</v>
      </c>
      <c r="H33" s="149" t="s">
        <v>59</v>
      </c>
      <c r="I33" s="149" t="s">
        <v>69</v>
      </c>
      <c r="J33" s="149" t="s">
        <v>61</v>
      </c>
      <c r="L33" s="194" t="s">
        <v>68</v>
      </c>
      <c r="M33" s="195">
        <v>44762</v>
      </c>
      <c r="N33" s="196">
        <v>3.7</v>
      </c>
      <c r="O33" s="197">
        <v>4.45</v>
      </c>
    </row>
    <row r="34" ht="14.25" spans="1:15">
      <c r="A34" s="149" t="s">
        <v>22</v>
      </c>
      <c r="B34" s="149" t="s">
        <v>81</v>
      </c>
      <c r="C34" s="149" t="s">
        <v>82</v>
      </c>
      <c r="D34" s="149" t="s">
        <v>83</v>
      </c>
      <c r="F34" s="149" t="s">
        <v>22</v>
      </c>
      <c r="H34" s="149" t="s">
        <v>68</v>
      </c>
      <c r="I34" s="149" t="s">
        <v>76</v>
      </c>
      <c r="J34" s="149" t="s">
        <v>70</v>
      </c>
      <c r="L34" s="194" t="s">
        <v>75</v>
      </c>
      <c r="M34" s="195">
        <v>44795</v>
      </c>
      <c r="N34" s="196">
        <v>3.65</v>
      </c>
      <c r="O34" s="197">
        <v>4.3</v>
      </c>
    </row>
    <row r="35" ht="14.25" spans="1:15">
      <c r="A35" s="149" t="s">
        <v>23</v>
      </c>
      <c r="B35" s="149" t="s">
        <v>84</v>
      </c>
      <c r="C35" s="149" t="s">
        <v>85</v>
      </c>
      <c r="D35" s="149" t="s">
        <v>86</v>
      </c>
      <c r="F35" s="149" t="s">
        <v>23</v>
      </c>
      <c r="H35" s="149" t="s">
        <v>75</v>
      </c>
      <c r="I35" s="149" t="s">
        <v>79</v>
      </c>
      <c r="J35" s="149" t="s">
        <v>77</v>
      </c>
      <c r="L35" s="194" t="s">
        <v>78</v>
      </c>
      <c r="M35" s="195">
        <v>44824</v>
      </c>
      <c r="N35" s="196">
        <v>3.65</v>
      </c>
      <c r="O35" s="197">
        <v>4.3</v>
      </c>
    </row>
    <row r="36" ht="14.25" spans="1:15">
      <c r="A36" s="149" t="s">
        <v>24</v>
      </c>
      <c r="B36" s="149" t="s">
        <v>87</v>
      </c>
      <c r="C36" s="149" t="s">
        <v>88</v>
      </c>
      <c r="D36" s="149" t="s">
        <v>66</v>
      </c>
      <c r="F36" s="149" t="s">
        <v>24</v>
      </c>
      <c r="H36" s="149" t="s">
        <v>78</v>
      </c>
      <c r="I36" s="149" t="s">
        <v>82</v>
      </c>
      <c r="J36" s="149" t="s">
        <v>80</v>
      </c>
      <c r="L36" s="194" t="s">
        <v>89</v>
      </c>
      <c r="M36" s="195">
        <v>44854</v>
      </c>
      <c r="N36" s="196">
        <v>3.65</v>
      </c>
      <c r="O36" s="197">
        <v>4.3</v>
      </c>
    </row>
    <row r="37" ht="14.25" spans="1:15">
      <c r="A37" s="149" t="s">
        <v>26</v>
      </c>
      <c r="B37" s="149" t="s">
        <v>64</v>
      </c>
      <c r="C37" s="149" t="s">
        <v>65</v>
      </c>
      <c r="D37" s="149" t="s">
        <v>73</v>
      </c>
      <c r="F37" s="149" t="s">
        <v>26</v>
      </c>
      <c r="H37" s="149" t="s">
        <v>81</v>
      </c>
      <c r="I37" s="149" t="s">
        <v>90</v>
      </c>
      <c r="J37" s="149" t="s">
        <v>83</v>
      </c>
      <c r="L37" s="194" t="s">
        <v>91</v>
      </c>
      <c r="M37" s="195">
        <v>44886</v>
      </c>
      <c r="N37" s="196">
        <v>3.65</v>
      </c>
      <c r="O37" s="197">
        <v>4.3</v>
      </c>
    </row>
    <row r="38" ht="14.25" spans="1:15">
      <c r="A38" s="149" t="s">
        <v>74</v>
      </c>
      <c r="B38" s="149" t="s">
        <v>71</v>
      </c>
      <c r="C38" s="149" t="s">
        <v>72</v>
      </c>
      <c r="D38" s="149" t="s">
        <v>92</v>
      </c>
      <c r="F38" s="149" t="s">
        <v>42</v>
      </c>
      <c r="H38" s="149" t="s">
        <v>87</v>
      </c>
      <c r="I38" s="149" t="s">
        <v>85</v>
      </c>
      <c r="J38" s="149" t="s">
        <v>86</v>
      </c>
      <c r="L38" s="194" t="s">
        <v>93</v>
      </c>
      <c r="M38" s="195">
        <v>44915</v>
      </c>
      <c r="N38" s="196">
        <v>3.65</v>
      </c>
      <c r="O38" s="197">
        <v>4.3</v>
      </c>
    </row>
    <row r="39" ht="14.25" spans="10:15">
      <c r="J39" s="198"/>
      <c r="L39" s="194" t="s">
        <v>94</v>
      </c>
      <c r="M39" s="195">
        <v>44946</v>
      </c>
      <c r="N39" s="196">
        <v>3.65</v>
      </c>
      <c r="O39" s="197">
        <v>4.3</v>
      </c>
    </row>
    <row r="40" ht="14.25" spans="1:15">
      <c r="A40" s="152" t="s">
        <v>95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94" t="s">
        <v>96</v>
      </c>
      <c r="M40" s="195">
        <v>44977</v>
      </c>
      <c r="N40" s="196">
        <v>3.65</v>
      </c>
      <c r="O40" s="197">
        <v>4.3</v>
      </c>
    </row>
    <row r="41" ht="14.25" spans="1:15">
      <c r="A41" s="169" t="s">
        <v>97</v>
      </c>
      <c r="B41" s="170"/>
      <c r="C41" s="171">
        <v>43831</v>
      </c>
      <c r="D41" s="171">
        <v>43938</v>
      </c>
      <c r="E41" s="171">
        <v>44197</v>
      </c>
      <c r="F41" s="171">
        <v>44477</v>
      </c>
      <c r="G41" s="171"/>
      <c r="H41" s="171">
        <v>45019</v>
      </c>
      <c r="I41" s="171"/>
      <c r="J41" s="171">
        <v>45200</v>
      </c>
      <c r="K41" s="171"/>
      <c r="L41" s="194" t="s">
        <v>81</v>
      </c>
      <c r="M41" s="195">
        <v>45005</v>
      </c>
      <c r="N41" s="196">
        <v>3.65</v>
      </c>
      <c r="O41" s="197">
        <v>4.3</v>
      </c>
    </row>
    <row r="42" ht="14.25" spans="1:15">
      <c r="A42" s="172"/>
      <c r="B42" s="173"/>
      <c r="C42" s="171">
        <v>43937</v>
      </c>
      <c r="D42" s="171">
        <v>44196</v>
      </c>
      <c r="E42" s="171">
        <v>44476</v>
      </c>
      <c r="F42" s="171">
        <v>45018</v>
      </c>
      <c r="G42" s="171"/>
      <c r="H42" s="171">
        <v>45199</v>
      </c>
      <c r="I42" s="171"/>
      <c r="J42" s="199"/>
      <c r="K42" s="200"/>
      <c r="L42" s="194" t="s">
        <v>84</v>
      </c>
      <c r="M42" s="195">
        <v>45036</v>
      </c>
      <c r="N42" s="196">
        <v>3.65</v>
      </c>
      <c r="O42" s="197">
        <v>4.3</v>
      </c>
    </row>
    <row r="43" ht="14.25" spans="1:15">
      <c r="A43" s="174" t="s">
        <v>98</v>
      </c>
      <c r="B43" s="175" t="s">
        <v>99</v>
      </c>
      <c r="C43" s="171" t="s">
        <v>100</v>
      </c>
      <c r="D43" s="176" t="s">
        <v>101</v>
      </c>
      <c r="E43" s="176" t="s">
        <v>101</v>
      </c>
      <c r="F43" s="177" t="s">
        <v>101</v>
      </c>
      <c r="G43" s="178"/>
      <c r="H43" s="177" t="s">
        <v>101</v>
      </c>
      <c r="I43" s="178"/>
      <c r="J43" s="177" t="s">
        <v>101</v>
      </c>
      <c r="K43" s="178"/>
      <c r="L43" s="194" t="s">
        <v>87</v>
      </c>
      <c r="M43" s="195">
        <v>45068</v>
      </c>
      <c r="N43" s="196">
        <v>3.65</v>
      </c>
      <c r="O43" s="197">
        <v>4.3</v>
      </c>
    </row>
    <row r="44" ht="14.25" spans="1:15">
      <c r="A44" s="179"/>
      <c r="B44" s="175" t="s">
        <v>102</v>
      </c>
      <c r="C44" s="176" t="s">
        <v>103</v>
      </c>
      <c r="D44" s="176" t="s">
        <v>104</v>
      </c>
      <c r="E44" s="176" t="s">
        <v>104</v>
      </c>
      <c r="F44" s="177" t="s">
        <v>104</v>
      </c>
      <c r="G44" s="178"/>
      <c r="H44" s="177" t="s">
        <v>104</v>
      </c>
      <c r="I44" s="178"/>
      <c r="J44" s="177" t="s">
        <v>104</v>
      </c>
      <c r="K44" s="178"/>
      <c r="L44" s="194" t="s">
        <v>105</v>
      </c>
      <c r="M44" s="195">
        <v>45097</v>
      </c>
      <c r="N44" s="196">
        <v>3.55</v>
      </c>
      <c r="O44" s="197">
        <v>4.2</v>
      </c>
    </row>
    <row r="45" ht="14.25" spans="1:15">
      <c r="A45" s="175" t="s">
        <v>106</v>
      </c>
      <c r="B45" s="175" t="s">
        <v>99</v>
      </c>
      <c r="C45" s="180" t="s">
        <v>107</v>
      </c>
      <c r="D45" s="180" t="s">
        <v>107</v>
      </c>
      <c r="E45" s="180" t="s">
        <v>107</v>
      </c>
      <c r="F45" s="181" t="s">
        <v>107</v>
      </c>
      <c r="G45" s="182"/>
      <c r="H45" s="181" t="s">
        <v>107</v>
      </c>
      <c r="I45" s="182"/>
      <c r="J45" s="181" t="s">
        <v>107</v>
      </c>
      <c r="K45" s="182"/>
      <c r="L45" s="194" t="s">
        <v>108</v>
      </c>
      <c r="M45" s="195">
        <v>45127</v>
      </c>
      <c r="N45" s="196">
        <v>3.55</v>
      </c>
      <c r="O45" s="197">
        <v>4.2</v>
      </c>
    </row>
    <row r="46" ht="14.25" spans="1:15">
      <c r="A46" s="175"/>
      <c r="B46" s="175" t="s">
        <v>102</v>
      </c>
      <c r="C46" s="180" t="s">
        <v>107</v>
      </c>
      <c r="D46" s="180" t="s">
        <v>107</v>
      </c>
      <c r="E46" s="180" t="s">
        <v>107</v>
      </c>
      <c r="F46" s="181" t="s">
        <v>107</v>
      </c>
      <c r="G46" s="182"/>
      <c r="H46" s="181" t="s">
        <v>107</v>
      </c>
      <c r="I46" s="182"/>
      <c r="J46" s="181" t="s">
        <v>107</v>
      </c>
      <c r="K46" s="182"/>
      <c r="L46" s="194" t="s">
        <v>109</v>
      </c>
      <c r="M46" s="195">
        <v>45159</v>
      </c>
      <c r="N46" s="196">
        <v>3.45</v>
      </c>
      <c r="O46" s="197">
        <v>4.2</v>
      </c>
    </row>
    <row r="47" ht="14.25" spans="1:15">
      <c r="A47" s="175" t="s">
        <v>110</v>
      </c>
      <c r="B47" s="175" t="s">
        <v>111</v>
      </c>
      <c r="C47" s="180" t="s">
        <v>112</v>
      </c>
      <c r="D47" s="180" t="s">
        <v>112</v>
      </c>
      <c r="E47" s="180" t="s">
        <v>113</v>
      </c>
      <c r="F47" s="181" t="s">
        <v>113</v>
      </c>
      <c r="G47" s="182"/>
      <c r="H47" s="181" t="s">
        <v>113</v>
      </c>
      <c r="I47" s="182"/>
      <c r="J47" s="180" t="s">
        <v>114</v>
      </c>
      <c r="K47" s="180"/>
      <c r="L47" s="194" t="s">
        <v>115</v>
      </c>
      <c r="M47" s="195">
        <v>45189</v>
      </c>
      <c r="N47" s="196">
        <v>3.45</v>
      </c>
      <c r="O47" s="197">
        <v>4.2</v>
      </c>
    </row>
    <row r="48" ht="14.25" spans="1:15">
      <c r="A48" s="175"/>
      <c r="B48" s="175" t="s">
        <v>116</v>
      </c>
      <c r="C48" s="180" t="s">
        <v>112</v>
      </c>
      <c r="D48" s="180" t="s">
        <v>112</v>
      </c>
      <c r="E48" s="180" t="s">
        <v>113</v>
      </c>
      <c r="F48" s="181" t="s">
        <v>113</v>
      </c>
      <c r="G48" s="182"/>
      <c r="H48" s="181" t="s">
        <v>113</v>
      </c>
      <c r="I48" s="182"/>
      <c r="J48" s="180" t="s">
        <v>114</v>
      </c>
      <c r="K48" s="180"/>
      <c r="L48" s="194" t="s">
        <v>117</v>
      </c>
      <c r="M48" s="195">
        <v>45219</v>
      </c>
      <c r="N48" s="196">
        <v>3.45</v>
      </c>
      <c r="O48" s="197">
        <v>4.2</v>
      </c>
    </row>
    <row r="49" ht="14.25" spans="1:15">
      <c r="A49" s="175"/>
      <c r="B49" s="175" t="s">
        <v>118</v>
      </c>
      <c r="C49" s="180" t="s">
        <v>119</v>
      </c>
      <c r="D49" s="180" t="s">
        <v>119</v>
      </c>
      <c r="E49" s="180" t="s">
        <v>113</v>
      </c>
      <c r="F49" s="181" t="s">
        <v>113</v>
      </c>
      <c r="G49" s="182"/>
      <c r="H49" s="181" t="s">
        <v>113</v>
      </c>
      <c r="I49" s="182"/>
      <c r="J49" s="180" t="s">
        <v>114</v>
      </c>
      <c r="K49" s="180"/>
      <c r="L49" s="194" t="s">
        <v>120</v>
      </c>
      <c r="M49" s="195">
        <v>45250</v>
      </c>
      <c r="N49" s="196">
        <v>3.45</v>
      </c>
      <c r="O49" s="197">
        <v>4.2</v>
      </c>
    </row>
    <row r="50" ht="14.25" spans="1:15">
      <c r="A50" s="183" t="s">
        <v>121</v>
      </c>
      <c r="B50" s="175" t="s">
        <v>111</v>
      </c>
      <c r="C50" s="184">
        <v>15</v>
      </c>
      <c r="D50" s="184">
        <v>20</v>
      </c>
      <c r="E50" s="184">
        <v>20</v>
      </c>
      <c r="F50" s="184">
        <v>20</v>
      </c>
      <c r="G50" s="184"/>
      <c r="H50" s="184" t="s">
        <v>122</v>
      </c>
      <c r="I50" s="184"/>
      <c r="J50" s="184">
        <v>30</v>
      </c>
      <c r="K50" s="184"/>
      <c r="L50" s="194" t="s">
        <v>123</v>
      </c>
      <c r="M50" s="195">
        <v>45280</v>
      </c>
      <c r="N50" s="196">
        <v>3.45</v>
      </c>
      <c r="O50" s="197">
        <v>4.2</v>
      </c>
    </row>
    <row r="51" ht="14.25" spans="1:16">
      <c r="A51" s="183"/>
      <c r="B51" s="175" t="s">
        <v>116</v>
      </c>
      <c r="C51" s="185" t="s">
        <v>124</v>
      </c>
      <c r="D51" s="185" t="s">
        <v>125</v>
      </c>
      <c r="E51" s="185" t="s">
        <v>125</v>
      </c>
      <c r="F51" s="185" t="s">
        <v>125</v>
      </c>
      <c r="G51" s="185"/>
      <c r="H51" s="185" t="s">
        <v>126</v>
      </c>
      <c r="I51" s="185"/>
      <c r="J51" s="185" t="s">
        <v>127</v>
      </c>
      <c r="K51" s="185"/>
      <c r="L51" s="194" t="s">
        <v>128</v>
      </c>
      <c r="M51" s="201">
        <v>45313</v>
      </c>
      <c r="N51" s="202">
        <v>3.45</v>
      </c>
      <c r="O51" s="203">
        <v>4.2</v>
      </c>
      <c r="P51" s="204" t="s">
        <v>129</v>
      </c>
    </row>
    <row r="52" ht="14.25" spans="1:15">
      <c r="A52" s="183"/>
      <c r="B52" s="175"/>
      <c r="C52" s="185"/>
      <c r="D52" s="185"/>
      <c r="E52" s="185"/>
      <c r="F52" s="185"/>
      <c r="G52" s="185"/>
      <c r="H52" s="185"/>
      <c r="I52" s="185"/>
      <c r="J52" s="185"/>
      <c r="K52" s="185"/>
      <c r="L52" s="194" t="s">
        <v>64</v>
      </c>
      <c r="M52" s="205">
        <v>45342</v>
      </c>
      <c r="N52" s="206">
        <v>3.45</v>
      </c>
      <c r="O52" s="207">
        <v>3.95</v>
      </c>
    </row>
    <row r="53" ht="14.25" spans="1:15">
      <c r="A53" s="183"/>
      <c r="B53" s="175" t="s">
        <v>118</v>
      </c>
      <c r="C53" s="185" t="s">
        <v>130</v>
      </c>
      <c r="D53" s="185" t="s">
        <v>131</v>
      </c>
      <c r="E53" s="185" t="s">
        <v>131</v>
      </c>
      <c r="F53" s="185" t="s">
        <v>131</v>
      </c>
      <c r="G53" s="185"/>
      <c r="H53" s="185" t="s">
        <v>131</v>
      </c>
      <c r="I53" s="185"/>
      <c r="J53" s="185" t="s">
        <v>132</v>
      </c>
      <c r="K53" s="185"/>
      <c r="L53" s="194" t="s">
        <v>71</v>
      </c>
      <c r="M53" s="205">
        <v>45371</v>
      </c>
      <c r="N53" s="206"/>
      <c r="O53" s="207"/>
    </row>
    <row r="54" ht="14.25" spans="1:15">
      <c r="A54" s="183"/>
      <c r="B54" s="175"/>
      <c r="C54" s="185"/>
      <c r="D54" s="185"/>
      <c r="E54" s="185"/>
      <c r="F54" s="185"/>
      <c r="G54" s="185"/>
      <c r="H54" s="185"/>
      <c r="I54" s="185"/>
      <c r="J54" s="185"/>
      <c r="K54" s="185"/>
      <c r="L54" s="194" t="s">
        <v>133</v>
      </c>
      <c r="M54" s="205">
        <v>45402</v>
      </c>
      <c r="N54" s="206"/>
      <c r="O54" s="207"/>
    </row>
    <row r="55" ht="14.25" spans="1:15">
      <c r="A55" s="183"/>
      <c r="B55" s="175"/>
      <c r="C55" s="185"/>
      <c r="D55" s="185"/>
      <c r="E55" s="185"/>
      <c r="F55" s="185"/>
      <c r="G55" s="185"/>
      <c r="H55" s="185"/>
      <c r="I55" s="185"/>
      <c r="J55" s="185"/>
      <c r="K55" s="185"/>
      <c r="L55" s="194" t="s">
        <v>134</v>
      </c>
      <c r="M55" s="205">
        <v>45432</v>
      </c>
      <c r="N55" s="206"/>
      <c r="O55" s="207"/>
    </row>
    <row r="56" ht="14.25" spans="1:15">
      <c r="A56" s="183"/>
      <c r="B56" s="175"/>
      <c r="C56" s="185"/>
      <c r="D56" s="185"/>
      <c r="E56" s="185"/>
      <c r="F56" s="185"/>
      <c r="G56" s="185"/>
      <c r="H56" s="185"/>
      <c r="I56" s="185"/>
      <c r="J56" s="185"/>
      <c r="K56" s="185"/>
      <c r="L56" s="194" t="s">
        <v>135</v>
      </c>
      <c r="M56" s="205">
        <v>45463</v>
      </c>
      <c r="N56" s="206"/>
      <c r="O56" s="207"/>
    </row>
    <row r="57" ht="14.25" spans="1:15">
      <c r="A57" s="183"/>
      <c r="B57" s="175"/>
      <c r="C57" s="185"/>
      <c r="D57" s="185"/>
      <c r="E57" s="185"/>
      <c r="F57" s="185"/>
      <c r="G57" s="185"/>
      <c r="H57" s="185"/>
      <c r="I57" s="185"/>
      <c r="J57" s="185"/>
      <c r="K57" s="185"/>
      <c r="L57" s="194" t="s">
        <v>136</v>
      </c>
      <c r="M57" s="205">
        <v>45493</v>
      </c>
      <c r="N57" s="206"/>
      <c r="O57" s="207"/>
    </row>
    <row r="58" ht="14.25" spans="1:15">
      <c r="A58" s="183"/>
      <c r="B58" s="175"/>
      <c r="C58" s="185"/>
      <c r="D58" s="185"/>
      <c r="E58" s="185"/>
      <c r="F58" s="185"/>
      <c r="G58" s="185"/>
      <c r="H58" s="185"/>
      <c r="I58" s="185"/>
      <c r="J58" s="185"/>
      <c r="K58" s="185"/>
      <c r="L58" s="194" t="s">
        <v>137</v>
      </c>
      <c r="M58" s="205">
        <v>45524</v>
      </c>
      <c r="N58" s="206"/>
      <c r="O58" s="207"/>
    </row>
    <row r="59" ht="14.25" spans="1:15">
      <c r="A59" s="183"/>
      <c r="B59" s="175"/>
      <c r="C59" s="185"/>
      <c r="D59" s="185"/>
      <c r="E59" s="185"/>
      <c r="F59" s="185"/>
      <c r="G59" s="185"/>
      <c r="H59" s="185"/>
      <c r="I59" s="185"/>
      <c r="J59" s="185"/>
      <c r="K59" s="185"/>
      <c r="L59" s="194" t="s">
        <v>138</v>
      </c>
      <c r="M59" s="205">
        <v>45555</v>
      </c>
      <c r="N59" s="206"/>
      <c r="O59" s="207"/>
    </row>
    <row r="60" ht="14.25" spans="1:15">
      <c r="A60" s="183"/>
      <c r="B60" s="175"/>
      <c r="C60" s="185"/>
      <c r="D60" s="185"/>
      <c r="E60" s="185"/>
      <c r="F60" s="185"/>
      <c r="G60" s="185"/>
      <c r="H60" s="185"/>
      <c r="I60" s="185"/>
      <c r="J60" s="185"/>
      <c r="K60" s="185"/>
      <c r="L60" s="194" t="s">
        <v>60</v>
      </c>
      <c r="M60" s="205">
        <v>45585</v>
      </c>
      <c r="N60" s="206"/>
      <c r="O60" s="207"/>
    </row>
    <row r="61" ht="14.25" spans="1:15">
      <c r="A61" s="183"/>
      <c r="B61" s="175"/>
      <c r="C61" s="185"/>
      <c r="D61" s="185"/>
      <c r="E61" s="185"/>
      <c r="F61" s="185"/>
      <c r="G61" s="185"/>
      <c r="H61" s="185"/>
      <c r="I61" s="185"/>
      <c r="J61" s="185"/>
      <c r="K61" s="185"/>
      <c r="L61" s="194" t="s">
        <v>69</v>
      </c>
      <c r="M61" s="205">
        <v>45616</v>
      </c>
      <c r="N61" s="206"/>
      <c r="O61" s="207"/>
    </row>
    <row r="62" ht="14.25" spans="1:15">
      <c r="A62" s="183"/>
      <c r="B62" s="175"/>
      <c r="C62" s="185"/>
      <c r="D62" s="185"/>
      <c r="E62" s="185"/>
      <c r="F62" s="185"/>
      <c r="G62" s="185"/>
      <c r="H62" s="185"/>
      <c r="I62" s="185"/>
      <c r="J62" s="185"/>
      <c r="K62" s="185"/>
      <c r="L62" s="194" t="s">
        <v>76</v>
      </c>
      <c r="M62" s="205">
        <v>45646</v>
      </c>
      <c r="N62" s="206"/>
      <c r="O62" s="207"/>
    </row>
    <row r="63" ht="14.25" spans="1:15">
      <c r="A63" s="186" t="s">
        <v>139</v>
      </c>
      <c r="B63" s="187" t="s">
        <v>140</v>
      </c>
      <c r="C63" s="236" t="s">
        <v>141</v>
      </c>
      <c r="D63" s="189"/>
      <c r="E63" s="189"/>
      <c r="F63" s="189"/>
      <c r="G63" s="189"/>
      <c r="H63" s="189"/>
      <c r="I63" s="208"/>
      <c r="J63" s="209" t="s">
        <v>142</v>
      </c>
      <c r="K63" s="210"/>
      <c r="L63" s="194" t="s">
        <v>79</v>
      </c>
      <c r="M63" s="205">
        <v>45677</v>
      </c>
      <c r="N63" s="206"/>
      <c r="O63" s="207"/>
    </row>
    <row r="64" ht="14.25" spans="1:15">
      <c r="A64" s="190"/>
      <c r="B64" s="175" t="s">
        <v>63</v>
      </c>
      <c r="C64" s="236" t="s">
        <v>143</v>
      </c>
      <c r="D64" s="189"/>
      <c r="E64" s="189"/>
      <c r="F64" s="189"/>
      <c r="G64" s="189"/>
      <c r="H64" s="189"/>
      <c r="I64" s="208"/>
      <c r="J64" s="211"/>
      <c r="K64" s="212"/>
      <c r="L64" s="194" t="s">
        <v>82</v>
      </c>
      <c r="M64" s="205">
        <v>45708</v>
      </c>
      <c r="N64" s="206"/>
      <c r="O64" s="207"/>
    </row>
    <row r="65" ht="14.25" spans="1:15">
      <c r="A65" s="186" t="s">
        <v>144</v>
      </c>
      <c r="B65" s="213" t="s">
        <v>145</v>
      </c>
      <c r="C65" s="214"/>
      <c r="D65" s="214"/>
      <c r="E65" s="215"/>
      <c r="F65" s="216"/>
      <c r="G65" s="217"/>
      <c r="H65" s="209" t="s">
        <v>146</v>
      </c>
      <c r="I65" s="210"/>
      <c r="J65" s="216"/>
      <c r="K65" s="217"/>
      <c r="L65" s="194" t="s">
        <v>90</v>
      </c>
      <c r="M65" s="205">
        <v>45736</v>
      </c>
      <c r="N65" s="206"/>
      <c r="O65" s="207"/>
    </row>
    <row r="66" ht="14.25" spans="1:15">
      <c r="A66" s="218"/>
      <c r="B66" s="219"/>
      <c r="C66" s="220"/>
      <c r="D66" s="220"/>
      <c r="E66" s="221"/>
      <c r="F66" s="222"/>
      <c r="G66" s="223"/>
      <c r="H66" s="224"/>
      <c r="I66" s="231"/>
      <c r="J66" s="222"/>
      <c r="K66" s="223"/>
      <c r="L66" s="194" t="s">
        <v>85</v>
      </c>
      <c r="M66" s="205">
        <v>45767</v>
      </c>
      <c r="N66" s="206"/>
      <c r="O66" s="207"/>
    </row>
    <row r="67" ht="14.25" spans="1:15">
      <c r="A67" s="218"/>
      <c r="B67" s="219"/>
      <c r="C67" s="220"/>
      <c r="D67" s="220"/>
      <c r="E67" s="221"/>
      <c r="F67" s="222"/>
      <c r="G67" s="223"/>
      <c r="H67" s="224"/>
      <c r="I67" s="231"/>
      <c r="J67" s="222"/>
      <c r="K67" s="223"/>
      <c r="L67" s="194" t="s">
        <v>147</v>
      </c>
      <c r="M67" s="205">
        <v>45797</v>
      </c>
      <c r="N67" s="206"/>
      <c r="O67" s="207"/>
    </row>
    <row r="68" ht="14.25" spans="1:15">
      <c r="A68" s="218"/>
      <c r="B68" s="219"/>
      <c r="C68" s="220"/>
      <c r="D68" s="220"/>
      <c r="E68" s="221"/>
      <c r="F68" s="222"/>
      <c r="G68" s="223"/>
      <c r="H68" s="224"/>
      <c r="I68" s="231"/>
      <c r="J68" s="222"/>
      <c r="K68" s="223"/>
      <c r="L68" s="194" t="s">
        <v>148</v>
      </c>
      <c r="M68" s="205">
        <v>45828</v>
      </c>
      <c r="N68" s="206"/>
      <c r="O68" s="207"/>
    </row>
    <row r="69" ht="14.25" spans="1:15">
      <c r="A69" s="218"/>
      <c r="B69" s="219"/>
      <c r="C69" s="220"/>
      <c r="D69" s="220"/>
      <c r="E69" s="221"/>
      <c r="F69" s="225"/>
      <c r="G69" s="226"/>
      <c r="H69" s="211"/>
      <c r="I69" s="212"/>
      <c r="J69" s="225"/>
      <c r="K69" s="226"/>
      <c r="L69" s="194" t="s">
        <v>149</v>
      </c>
      <c r="M69" s="205">
        <v>45858</v>
      </c>
      <c r="N69" s="206"/>
      <c r="O69" s="207"/>
    </row>
    <row r="70" ht="14.25" spans="1:15">
      <c r="A70" s="218"/>
      <c r="B70" s="219"/>
      <c r="C70" s="220"/>
      <c r="D70" s="220"/>
      <c r="E70" s="221"/>
      <c r="F70" s="222" t="s">
        <v>150</v>
      </c>
      <c r="G70" s="223"/>
      <c r="H70" s="224" t="s">
        <v>151</v>
      </c>
      <c r="I70" s="231"/>
      <c r="J70" s="222" t="s">
        <v>152</v>
      </c>
      <c r="K70" s="223"/>
      <c r="L70" s="194" t="s">
        <v>153</v>
      </c>
      <c r="M70" s="205">
        <v>45889</v>
      </c>
      <c r="N70" s="206"/>
      <c r="O70" s="207"/>
    </row>
    <row r="71" ht="14.25" spans="1:15">
      <c r="A71" s="218"/>
      <c r="B71" s="219"/>
      <c r="C71" s="220"/>
      <c r="D71" s="220"/>
      <c r="E71" s="221"/>
      <c r="F71" s="222"/>
      <c r="G71" s="223"/>
      <c r="H71" s="224"/>
      <c r="I71" s="231"/>
      <c r="J71" s="222"/>
      <c r="K71" s="223"/>
      <c r="L71" s="194" t="s">
        <v>154</v>
      </c>
      <c r="M71" s="205">
        <v>45920</v>
      </c>
      <c r="N71" s="206"/>
      <c r="O71" s="207"/>
    </row>
    <row r="72" ht="14.25" spans="1:15">
      <c r="A72" s="190"/>
      <c r="B72" s="227"/>
      <c r="C72" s="228"/>
      <c r="D72" s="228"/>
      <c r="E72" s="229"/>
      <c r="F72" s="225"/>
      <c r="G72" s="226"/>
      <c r="H72" s="211"/>
      <c r="I72" s="212"/>
      <c r="J72" s="225"/>
      <c r="K72" s="226"/>
      <c r="L72" s="194" t="s">
        <v>155</v>
      </c>
      <c r="M72" s="205">
        <v>45950</v>
      </c>
      <c r="N72" s="206"/>
      <c r="O72" s="207"/>
    </row>
    <row r="73" ht="14.25" spans="1:15">
      <c r="A73" s="149" t="s">
        <v>156</v>
      </c>
      <c r="L73" s="194" t="s">
        <v>88</v>
      </c>
      <c r="M73" s="205">
        <v>45981</v>
      </c>
      <c r="N73" s="206"/>
      <c r="O73" s="207"/>
    </row>
    <row r="74" ht="14.25" spans="12:15">
      <c r="L74" s="194" t="s">
        <v>65</v>
      </c>
      <c r="M74" s="205">
        <v>46011</v>
      </c>
      <c r="N74" s="206"/>
      <c r="O74" s="207"/>
    </row>
    <row r="75" ht="14.25" spans="2:15">
      <c r="B75" s="230"/>
      <c r="L75" s="194" t="s">
        <v>72</v>
      </c>
      <c r="M75" s="205">
        <v>46042</v>
      </c>
      <c r="N75" s="206"/>
      <c r="O75" s="207"/>
    </row>
    <row r="76" ht="14.25" spans="12:15">
      <c r="L76" s="194" t="s">
        <v>62</v>
      </c>
      <c r="M76" s="205">
        <v>46073</v>
      </c>
      <c r="N76" s="206"/>
      <c r="O76" s="207"/>
    </row>
    <row r="77" ht="14.25" spans="12:15">
      <c r="L77" s="194" t="s">
        <v>61</v>
      </c>
      <c r="M77" s="205">
        <v>46101</v>
      </c>
      <c r="N77" s="206"/>
      <c r="O77" s="207"/>
    </row>
    <row r="78" ht="14.25" spans="12:15">
      <c r="L78" s="194" t="s">
        <v>70</v>
      </c>
      <c r="M78" s="205">
        <v>46132</v>
      </c>
      <c r="N78" s="206"/>
      <c r="O78" s="207"/>
    </row>
    <row r="79" ht="14.25" spans="12:15">
      <c r="L79" s="194" t="s">
        <v>77</v>
      </c>
      <c r="M79" s="205">
        <v>46162</v>
      </c>
      <c r="N79" s="206"/>
      <c r="O79" s="207"/>
    </row>
    <row r="80" ht="14.25" spans="12:15">
      <c r="L80" s="194" t="s">
        <v>80</v>
      </c>
      <c r="M80" s="205">
        <v>46193</v>
      </c>
      <c r="N80" s="206"/>
      <c r="O80" s="207"/>
    </row>
    <row r="81" ht="14.25" spans="12:15">
      <c r="L81" s="194" t="s">
        <v>83</v>
      </c>
      <c r="M81" s="205">
        <v>46223</v>
      </c>
      <c r="N81" s="206"/>
      <c r="O81" s="207"/>
    </row>
    <row r="82" ht="14.25" spans="12:15">
      <c r="L82" s="194" t="s">
        <v>86</v>
      </c>
      <c r="M82" s="205">
        <v>46254</v>
      </c>
      <c r="N82" s="206"/>
      <c r="O82" s="207"/>
    </row>
    <row r="83" ht="14.25" spans="12:15">
      <c r="L83" s="194" t="s">
        <v>66</v>
      </c>
      <c r="M83" s="205">
        <v>46285</v>
      </c>
      <c r="N83" s="206"/>
      <c r="O83" s="207"/>
    </row>
    <row r="84" ht="14.25" spans="12:15">
      <c r="L84" s="194" t="s">
        <v>73</v>
      </c>
      <c r="M84" s="205">
        <v>46315</v>
      </c>
      <c r="N84" s="206"/>
      <c r="O84" s="207"/>
    </row>
    <row r="85" ht="14.25" spans="12:15">
      <c r="L85" s="194" t="s">
        <v>157</v>
      </c>
      <c r="M85" s="205">
        <v>46346</v>
      </c>
      <c r="N85" s="206"/>
      <c r="O85" s="207"/>
    </row>
    <row r="86" ht="14.25" spans="12:15">
      <c r="L86" s="194" t="s">
        <v>158</v>
      </c>
      <c r="M86" s="232">
        <v>46376</v>
      </c>
      <c r="N86" s="233"/>
      <c r="O86" s="234"/>
    </row>
    <row r="87" spans="12:13">
      <c r="L87" s="194" t="s">
        <v>159</v>
      </c>
      <c r="M87" s="150" t="s">
        <v>160</v>
      </c>
    </row>
    <row r="88" spans="12:13">
      <c r="L88" s="194" t="s">
        <v>161</v>
      </c>
      <c r="M88" s="150" t="s">
        <v>160</v>
      </c>
    </row>
    <row r="89" spans="12:13">
      <c r="L89" s="194" t="s">
        <v>162</v>
      </c>
      <c r="M89" s="150" t="s">
        <v>160</v>
      </c>
    </row>
    <row r="90" spans="12:13">
      <c r="L90" s="194" t="s">
        <v>163</v>
      </c>
      <c r="M90" s="150" t="s">
        <v>160</v>
      </c>
    </row>
    <row r="91" spans="12:13">
      <c r="L91" s="194" t="s">
        <v>164</v>
      </c>
      <c r="M91" s="150" t="s">
        <v>160</v>
      </c>
    </row>
    <row r="92" spans="12:13">
      <c r="L92" s="194" t="s">
        <v>92</v>
      </c>
      <c r="M92" s="150" t="s">
        <v>160</v>
      </c>
    </row>
  </sheetData>
  <sheetProtection password="CB92" sheet="1" selectLockedCells="1" objects="1"/>
  <mergeCells count="89">
    <mergeCell ref="A1:K1"/>
    <mergeCell ref="A2:B2"/>
    <mergeCell ref="J2:K2"/>
    <mergeCell ref="A7:K7"/>
    <mergeCell ref="A17:K17"/>
    <mergeCell ref="A18:K18"/>
    <mergeCell ref="A19:K19"/>
    <mergeCell ref="A20:B20"/>
    <mergeCell ref="C20:E20"/>
    <mergeCell ref="F20:K20"/>
    <mergeCell ref="E22:K22"/>
    <mergeCell ref="F23:G23"/>
    <mergeCell ref="H23:I23"/>
    <mergeCell ref="J23:K23"/>
    <mergeCell ref="F24:G24"/>
    <mergeCell ref="H24:I24"/>
    <mergeCell ref="J24:K24"/>
    <mergeCell ref="E26:K26"/>
    <mergeCell ref="F27:G27"/>
    <mergeCell ref="H27:I27"/>
    <mergeCell ref="J27:K27"/>
    <mergeCell ref="F28:G28"/>
    <mergeCell ref="H28:I28"/>
    <mergeCell ref="J28:K28"/>
    <mergeCell ref="F41:G41"/>
    <mergeCell ref="H41:I41"/>
    <mergeCell ref="J41:K41"/>
    <mergeCell ref="F42:G42"/>
    <mergeCell ref="H42:I42"/>
    <mergeCell ref="J42:K42"/>
    <mergeCell ref="F43:G43"/>
    <mergeCell ref="H43:I43"/>
    <mergeCell ref="J43:K43"/>
    <mergeCell ref="F44:G44"/>
    <mergeCell ref="H44:I44"/>
    <mergeCell ref="J44:K44"/>
    <mergeCell ref="F45:G45"/>
    <mergeCell ref="H45:I45"/>
    <mergeCell ref="J45:K45"/>
    <mergeCell ref="F46:G46"/>
    <mergeCell ref="H46:I46"/>
    <mergeCell ref="J46:K46"/>
    <mergeCell ref="F47:G47"/>
    <mergeCell ref="H47:I47"/>
    <mergeCell ref="J47:K47"/>
    <mergeCell ref="F48:G48"/>
    <mergeCell ref="H48:I48"/>
    <mergeCell ref="J48:K48"/>
    <mergeCell ref="F49:G49"/>
    <mergeCell ref="H49:I49"/>
    <mergeCell ref="J49:K49"/>
    <mergeCell ref="F50:G50"/>
    <mergeCell ref="H50:I50"/>
    <mergeCell ref="J50:K50"/>
    <mergeCell ref="C63:I63"/>
    <mergeCell ref="C64:I64"/>
    <mergeCell ref="A43:A44"/>
    <mergeCell ref="A45:A46"/>
    <mergeCell ref="A47:A49"/>
    <mergeCell ref="A50:A62"/>
    <mergeCell ref="A63:A64"/>
    <mergeCell ref="A65:A72"/>
    <mergeCell ref="B51:B52"/>
    <mergeCell ref="B53:B62"/>
    <mergeCell ref="C51:C52"/>
    <mergeCell ref="C53:C62"/>
    <mergeCell ref="D51:D52"/>
    <mergeCell ref="D53:D62"/>
    <mergeCell ref="E51:E52"/>
    <mergeCell ref="E53:E62"/>
    <mergeCell ref="A8:K9"/>
    <mergeCell ref="A3:K6"/>
    <mergeCell ref="A10:K12"/>
    <mergeCell ref="F51:G52"/>
    <mergeCell ref="H51:I52"/>
    <mergeCell ref="J51:K52"/>
    <mergeCell ref="A41:B42"/>
    <mergeCell ref="A13:K16"/>
    <mergeCell ref="J63:K64"/>
    <mergeCell ref="F65:G69"/>
    <mergeCell ref="H65:I69"/>
    <mergeCell ref="J65:K69"/>
    <mergeCell ref="F70:G72"/>
    <mergeCell ref="H70:I72"/>
    <mergeCell ref="J70:K72"/>
    <mergeCell ref="B65:E72"/>
    <mergeCell ref="F53:G62"/>
    <mergeCell ref="H53:I62"/>
    <mergeCell ref="J53:K62"/>
  </mergeCells>
  <dataValidations count="2">
    <dataValidation type="list" allowBlank="1" showInputMessage="1" showErrorMessage="1" prompt="请选择本报表填报市县名称" sqref="B22">
      <formula1>$L$2:$L$92</formula1>
    </dataValidation>
    <dataValidation type="list" allowBlank="1" showInputMessage="1" showErrorMessage="1" prompt="请选择年度贷款起始年月日" sqref="D23">
      <formula1>"2023/1/1,2024/1/1,2025/1/1,2026/1/1"</formula1>
    </dataValidation>
  </dataValidations>
  <hyperlinks>
    <hyperlink ref="P51" r:id="rId2" display="中国人民银行货币政策司&#10;http://www.pbc.gov.cn/zhengcehuobisi/125207/125213/125440/index.html"/>
  </hyperlinks>
  <pageMargins left="0.503472222222222" right="0.503472222222222" top="0.393055555555556" bottom="0.393055555555556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3"/>
  <sheetViews>
    <sheetView showZeros="0" workbookViewId="0">
      <pane xSplit="4" ySplit="7" topLeftCell="E8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2"/>
  <cols>
    <col min="1" max="1" width="10.5" style="79" customWidth="1"/>
    <col min="2" max="2" width="7.875" style="79" customWidth="1"/>
    <col min="3" max="3" width="4.54166666666667" style="79" customWidth="1"/>
    <col min="4" max="4" width="19.275" style="80" customWidth="1"/>
    <col min="5" max="5" width="9" style="79"/>
    <col min="6" max="6" width="25.125" style="79" customWidth="1"/>
    <col min="7" max="7" width="4.54166666666667" style="79" customWidth="1"/>
    <col min="8" max="8" width="8.54166666666667" style="79" customWidth="1"/>
    <col min="9" max="9" width="5" style="79" customWidth="1"/>
    <col min="10" max="10" width="5" style="81" customWidth="1"/>
    <col min="11" max="11" width="13.8166666666667" style="79" customWidth="1"/>
    <col min="12" max="13" width="9" style="83"/>
    <col min="14" max="14" width="5" style="81" customWidth="1"/>
    <col min="15" max="15" width="4.5" style="79" customWidth="1"/>
    <col min="16" max="16" width="10.4583333333333" style="84" customWidth="1"/>
    <col min="17" max="18" width="10.125" style="84"/>
    <col min="19" max="19" width="5.5" style="84" customWidth="1"/>
    <col min="20" max="20" width="9.725" style="84"/>
    <col min="21" max="21" width="5" style="81" customWidth="1"/>
    <col min="22" max="22" width="5" style="79" customWidth="1"/>
    <col min="23" max="23" width="5" style="81" customWidth="1"/>
    <col min="24" max="24" width="5" style="79" customWidth="1"/>
    <col min="25" max="28" width="5" style="81" customWidth="1"/>
    <col min="29" max="60" width="10.0916666666667" style="83" customWidth="1"/>
    <col min="61" max="16384" width="9" style="83"/>
  </cols>
  <sheetData>
    <row r="1" s="83" customFormat="1" ht="18.75" spans="1:60">
      <c r="A1" s="85" t="str">
        <f>设置!B22&amp;(IF(YEAR(设置!D23)&lt;2021/1/1,"0000",YEAR(设置!D23)))&amp;设置!C28&amp;设置!A23&amp;设置!C23</f>
        <v>***市县2025年创业担保贷款财政贴息明细表(个人贷款)</v>
      </c>
      <c r="B1" s="86"/>
      <c r="C1" s="86"/>
      <c r="D1" s="87"/>
      <c r="E1" s="86"/>
      <c r="F1" s="86"/>
      <c r="G1" s="86"/>
      <c r="H1" s="86"/>
      <c r="I1" s="86"/>
      <c r="J1" s="103"/>
      <c r="K1" s="86"/>
      <c r="L1" s="77"/>
      <c r="M1" s="77"/>
      <c r="N1" s="103"/>
      <c r="O1" s="86"/>
      <c r="P1" s="105"/>
      <c r="Q1" s="105"/>
      <c r="R1" s="105"/>
      <c r="S1" s="105"/>
      <c r="T1" s="105"/>
      <c r="U1" s="103"/>
      <c r="V1" s="86"/>
      <c r="W1" s="103"/>
      <c r="X1" s="86"/>
      <c r="Y1" s="103"/>
      <c r="Z1" s="103"/>
      <c r="AA1" s="103"/>
      <c r="AB1" s="103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</row>
    <row r="2" s="83" customFormat="1" spans="1:60">
      <c r="A2" s="86"/>
      <c r="B2" s="86"/>
      <c r="C2" s="86"/>
      <c r="D2" s="87"/>
      <c r="E2" s="86"/>
      <c r="F2" s="86"/>
      <c r="G2" s="86"/>
      <c r="H2" s="86"/>
      <c r="I2" s="86"/>
      <c r="J2" s="103"/>
      <c r="K2" s="86"/>
      <c r="L2" s="77"/>
      <c r="M2" s="77"/>
      <c r="N2" s="103"/>
      <c r="O2" s="86"/>
      <c r="P2" s="105"/>
      <c r="Q2" s="105"/>
      <c r="R2" s="105"/>
      <c r="S2" s="105"/>
      <c r="T2" s="105"/>
      <c r="U2" s="103"/>
      <c r="V2" s="86"/>
      <c r="W2" s="103"/>
      <c r="X2" s="86"/>
      <c r="Y2" s="103"/>
      <c r="Z2" s="103"/>
      <c r="AA2" s="103"/>
      <c r="AB2" s="131" t="s">
        <v>165</v>
      </c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</row>
    <row r="3" s="138" customFormat="1" spans="1:60">
      <c r="A3" s="63" t="s">
        <v>166</v>
      </c>
      <c r="B3" s="63" t="s">
        <v>167</v>
      </c>
      <c r="C3" s="63" t="s">
        <v>168</v>
      </c>
      <c r="D3" s="140" t="s">
        <v>169</v>
      </c>
      <c r="E3" s="63" t="s">
        <v>170</v>
      </c>
      <c r="F3" s="63" t="s">
        <v>171</v>
      </c>
      <c r="G3" s="63" t="s">
        <v>172</v>
      </c>
      <c r="H3" s="63" t="s">
        <v>173</v>
      </c>
      <c r="I3" s="63" t="s">
        <v>174</v>
      </c>
      <c r="J3" s="63" t="s">
        <v>175</v>
      </c>
      <c r="K3" s="63" t="s">
        <v>176</v>
      </c>
      <c r="L3" s="106" t="s">
        <v>177</v>
      </c>
      <c r="M3" s="63" t="s">
        <v>178</v>
      </c>
      <c r="N3" s="63" t="s">
        <v>179</v>
      </c>
      <c r="O3" s="63"/>
      <c r="P3" s="107" t="s">
        <v>180</v>
      </c>
      <c r="Q3" s="107"/>
      <c r="R3" s="107"/>
      <c r="S3" s="107"/>
      <c r="T3" s="107"/>
      <c r="U3" s="106" t="s">
        <v>181</v>
      </c>
      <c r="V3" s="106"/>
      <c r="W3" s="106"/>
      <c r="X3" s="106"/>
      <c r="Y3" s="106"/>
      <c r="Z3" s="106"/>
      <c r="AA3" s="63" t="s">
        <v>179</v>
      </c>
      <c r="AB3" s="63"/>
      <c r="AC3" s="106" t="s">
        <v>182</v>
      </c>
      <c r="AD3" s="106"/>
      <c r="AE3" s="106"/>
      <c r="AF3" s="106"/>
      <c r="AG3" s="106"/>
      <c r="AH3" s="106"/>
      <c r="AI3" s="106"/>
      <c r="AJ3" s="106"/>
      <c r="AK3" s="106" t="s">
        <v>183</v>
      </c>
      <c r="AL3" s="106"/>
      <c r="AM3" s="106"/>
      <c r="AN3" s="106"/>
      <c r="AO3" s="106"/>
      <c r="AP3" s="106"/>
      <c r="AQ3" s="106"/>
      <c r="AR3" s="106"/>
      <c r="AS3" s="106" t="s">
        <v>184</v>
      </c>
      <c r="AT3" s="106"/>
      <c r="AU3" s="106"/>
      <c r="AV3" s="106"/>
      <c r="AW3" s="106"/>
      <c r="AX3" s="106"/>
      <c r="AY3" s="106"/>
      <c r="AZ3" s="106"/>
      <c r="BA3" s="106" t="s">
        <v>185</v>
      </c>
      <c r="BB3" s="106"/>
      <c r="BC3" s="106"/>
      <c r="BD3" s="106"/>
      <c r="BE3" s="106"/>
      <c r="BF3" s="106"/>
      <c r="BG3" s="106"/>
      <c r="BH3" s="106"/>
    </row>
    <row r="4" s="139" customFormat="1" spans="1:60">
      <c r="A4" s="63"/>
      <c r="B4" s="63"/>
      <c r="C4" s="63"/>
      <c r="D4" s="140"/>
      <c r="E4" s="63"/>
      <c r="F4" s="63"/>
      <c r="G4" s="63"/>
      <c r="H4" s="63"/>
      <c r="I4" s="63"/>
      <c r="J4" s="63"/>
      <c r="K4" s="63"/>
      <c r="L4" s="106"/>
      <c r="M4" s="63"/>
      <c r="N4" s="63"/>
      <c r="O4" s="63"/>
      <c r="P4" s="107"/>
      <c r="Q4" s="107"/>
      <c r="R4" s="107"/>
      <c r="S4" s="107"/>
      <c r="T4" s="107"/>
      <c r="U4" s="63" t="s">
        <v>186</v>
      </c>
      <c r="V4" s="63" t="s">
        <v>187</v>
      </c>
      <c r="W4" s="63" t="s">
        <v>188</v>
      </c>
      <c r="X4" s="106"/>
      <c r="Y4" s="63" t="s">
        <v>106</v>
      </c>
      <c r="Z4" s="63" t="s">
        <v>110</v>
      </c>
      <c r="AA4" s="63" t="s">
        <v>189</v>
      </c>
      <c r="AB4" s="63" t="s">
        <v>190</v>
      </c>
      <c r="AC4" s="63" t="s">
        <v>191</v>
      </c>
      <c r="AD4" s="63" t="s">
        <v>192</v>
      </c>
      <c r="AE4" s="63"/>
      <c r="AF4" s="63"/>
      <c r="AG4" s="63"/>
      <c r="AH4" s="63" t="s">
        <v>193</v>
      </c>
      <c r="AI4" s="63"/>
      <c r="AJ4" s="63" t="s">
        <v>194</v>
      </c>
      <c r="AK4" s="63" t="s">
        <v>195</v>
      </c>
      <c r="AL4" s="63" t="s">
        <v>192</v>
      </c>
      <c r="AM4" s="63"/>
      <c r="AN4" s="63"/>
      <c r="AO4" s="63"/>
      <c r="AP4" s="63" t="s">
        <v>193</v>
      </c>
      <c r="AQ4" s="63"/>
      <c r="AR4" s="63" t="s">
        <v>194</v>
      </c>
      <c r="AS4" s="63" t="s">
        <v>195</v>
      </c>
      <c r="AT4" s="63" t="s">
        <v>192</v>
      </c>
      <c r="AU4" s="63"/>
      <c r="AV4" s="63"/>
      <c r="AW4" s="63"/>
      <c r="AX4" s="63" t="s">
        <v>193</v>
      </c>
      <c r="AY4" s="63"/>
      <c r="AZ4" s="63" t="s">
        <v>194</v>
      </c>
      <c r="BA4" s="63" t="s">
        <v>195</v>
      </c>
      <c r="BB4" s="63" t="s">
        <v>192</v>
      </c>
      <c r="BC4" s="63"/>
      <c r="BD4" s="63"/>
      <c r="BE4" s="63"/>
      <c r="BF4" s="63" t="s">
        <v>193</v>
      </c>
      <c r="BG4" s="63"/>
      <c r="BH4" s="63" t="s">
        <v>194</v>
      </c>
    </row>
    <row r="5" s="139" customFormat="1" spans="1:60">
      <c r="A5" s="63"/>
      <c r="B5" s="63"/>
      <c r="C5" s="63"/>
      <c r="D5" s="140"/>
      <c r="E5" s="63"/>
      <c r="F5" s="63"/>
      <c r="G5" s="63"/>
      <c r="H5" s="63"/>
      <c r="I5" s="63"/>
      <c r="J5" s="63"/>
      <c r="K5" s="63"/>
      <c r="L5" s="106"/>
      <c r="M5" s="63"/>
      <c r="N5" s="63" t="s">
        <v>196</v>
      </c>
      <c r="O5" s="63" t="s">
        <v>197</v>
      </c>
      <c r="P5" s="107" t="s">
        <v>198</v>
      </c>
      <c r="Q5" s="107" t="s">
        <v>199</v>
      </c>
      <c r="R5" s="121" t="s">
        <v>200</v>
      </c>
      <c r="S5" s="122" t="s">
        <v>201</v>
      </c>
      <c r="T5" s="107" t="s">
        <v>202</v>
      </c>
      <c r="U5" s="63"/>
      <c r="V5" s="63"/>
      <c r="W5" s="63" t="s">
        <v>203</v>
      </c>
      <c r="X5" s="63" t="s">
        <v>197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</row>
    <row r="6" s="138" customFormat="1" ht="24" spans="1:60">
      <c r="A6" s="46"/>
      <c r="B6" s="46"/>
      <c r="C6" s="46"/>
      <c r="D6" s="141"/>
      <c r="E6" s="46"/>
      <c r="F6" s="46"/>
      <c r="G6" s="46"/>
      <c r="H6" s="46"/>
      <c r="I6" s="46"/>
      <c r="J6" s="63"/>
      <c r="K6" s="63"/>
      <c r="L6" s="106"/>
      <c r="M6" s="63"/>
      <c r="N6" s="63"/>
      <c r="O6" s="63"/>
      <c r="P6" s="107"/>
      <c r="Q6" s="107"/>
      <c r="R6" s="121"/>
      <c r="S6" s="123"/>
      <c r="T6" s="107"/>
      <c r="U6" s="63"/>
      <c r="V6" s="63"/>
      <c r="W6" s="63"/>
      <c r="X6" s="63"/>
      <c r="Y6" s="63"/>
      <c r="Z6" s="63"/>
      <c r="AA6" s="63"/>
      <c r="AB6" s="63"/>
      <c r="AC6" s="63"/>
      <c r="AD6" s="63" t="s">
        <v>204</v>
      </c>
      <c r="AE6" s="63" t="s">
        <v>205</v>
      </c>
      <c r="AF6" s="63" t="s">
        <v>206</v>
      </c>
      <c r="AG6" s="63" t="s">
        <v>207</v>
      </c>
      <c r="AH6" s="63" t="s">
        <v>208</v>
      </c>
      <c r="AI6" s="63" t="s">
        <v>207</v>
      </c>
      <c r="AJ6" s="63"/>
      <c r="AK6" s="63"/>
      <c r="AL6" s="63" t="s">
        <v>204</v>
      </c>
      <c r="AM6" s="63" t="s">
        <v>205</v>
      </c>
      <c r="AN6" s="63" t="s">
        <v>206</v>
      </c>
      <c r="AO6" s="63" t="s">
        <v>207</v>
      </c>
      <c r="AP6" s="63" t="s">
        <v>208</v>
      </c>
      <c r="AQ6" s="63" t="s">
        <v>207</v>
      </c>
      <c r="AR6" s="63"/>
      <c r="AS6" s="63"/>
      <c r="AT6" s="63" t="s">
        <v>204</v>
      </c>
      <c r="AU6" s="63" t="s">
        <v>205</v>
      </c>
      <c r="AV6" s="63" t="s">
        <v>206</v>
      </c>
      <c r="AW6" s="63" t="s">
        <v>207</v>
      </c>
      <c r="AX6" s="63" t="s">
        <v>208</v>
      </c>
      <c r="AY6" s="63" t="s">
        <v>207</v>
      </c>
      <c r="AZ6" s="63"/>
      <c r="BA6" s="63"/>
      <c r="BB6" s="63" t="s">
        <v>204</v>
      </c>
      <c r="BC6" s="63" t="s">
        <v>205</v>
      </c>
      <c r="BD6" s="63" t="s">
        <v>206</v>
      </c>
      <c r="BE6" s="63" t="s">
        <v>207</v>
      </c>
      <c r="BF6" s="63" t="s">
        <v>208</v>
      </c>
      <c r="BG6" s="63" t="s">
        <v>207</v>
      </c>
      <c r="BH6" s="63"/>
    </row>
    <row r="7" s="83" customFormat="1" spans="1:60">
      <c r="A7" s="90"/>
      <c r="B7" s="91"/>
      <c r="C7" s="91"/>
      <c r="D7" s="91"/>
      <c r="E7" s="142" t="s">
        <v>204</v>
      </c>
      <c r="F7" s="91"/>
      <c r="G7" s="91"/>
      <c r="H7" s="91"/>
      <c r="I7" s="93"/>
      <c r="J7" s="108">
        <f>SUMIFS(J8:J666666,I8:I666666,"合伙")</f>
        <v>0</v>
      </c>
      <c r="K7" s="110"/>
      <c r="L7" s="110"/>
      <c r="M7" s="110"/>
      <c r="N7" s="109">
        <f>SUM(N8:N666666)</f>
        <v>0</v>
      </c>
      <c r="O7" s="110"/>
      <c r="P7" s="112"/>
      <c r="Q7" s="112"/>
      <c r="R7" s="112"/>
      <c r="S7" s="112"/>
      <c r="T7" s="112"/>
      <c r="U7" s="109">
        <f>IF(P7="",,VLOOKUP(P7,设置!$M$2:$O$6666,2,TRUE))</f>
        <v>0</v>
      </c>
      <c r="V7" s="111"/>
      <c r="W7" s="110"/>
      <c r="X7" s="111"/>
      <c r="Y7" s="110"/>
      <c r="Z7" s="110"/>
      <c r="AA7" s="109">
        <f t="shared" ref="AA7:BH7" si="0">SUM(AA8:AA666666)</f>
        <v>0</v>
      </c>
      <c r="AB7" s="109">
        <f t="shared" si="0"/>
        <v>0</v>
      </c>
      <c r="AC7" s="109">
        <f t="shared" si="0"/>
        <v>0</v>
      </c>
      <c r="AD7" s="109">
        <f t="shared" si="0"/>
        <v>0</v>
      </c>
      <c r="AE7" s="109">
        <f t="shared" si="0"/>
        <v>0</v>
      </c>
      <c r="AF7" s="109">
        <f t="shared" si="0"/>
        <v>0</v>
      </c>
      <c r="AG7" s="109">
        <f t="shared" si="0"/>
        <v>0</v>
      </c>
      <c r="AH7" s="109">
        <f t="shared" si="0"/>
        <v>0</v>
      </c>
      <c r="AI7" s="109">
        <f t="shared" si="0"/>
        <v>0</v>
      </c>
      <c r="AJ7" s="109">
        <f t="shared" si="0"/>
        <v>0</v>
      </c>
      <c r="AK7" s="109">
        <f t="shared" si="0"/>
        <v>0</v>
      </c>
      <c r="AL7" s="109">
        <f t="shared" si="0"/>
        <v>0</v>
      </c>
      <c r="AM7" s="109">
        <f t="shared" si="0"/>
        <v>0</v>
      </c>
      <c r="AN7" s="109">
        <f t="shared" si="0"/>
        <v>0</v>
      </c>
      <c r="AO7" s="109">
        <f t="shared" si="0"/>
        <v>0</v>
      </c>
      <c r="AP7" s="109">
        <f t="shared" si="0"/>
        <v>0</v>
      </c>
      <c r="AQ7" s="109">
        <f t="shared" si="0"/>
        <v>0</v>
      </c>
      <c r="AR7" s="109">
        <f t="shared" si="0"/>
        <v>0</v>
      </c>
      <c r="AS7" s="109">
        <f t="shared" si="0"/>
        <v>0</v>
      </c>
      <c r="AT7" s="109">
        <f t="shared" si="0"/>
        <v>0</v>
      </c>
      <c r="AU7" s="109">
        <f t="shared" si="0"/>
        <v>0</v>
      </c>
      <c r="AV7" s="109">
        <f t="shared" si="0"/>
        <v>0</v>
      </c>
      <c r="AW7" s="109">
        <f t="shared" si="0"/>
        <v>0</v>
      </c>
      <c r="AX7" s="109">
        <f t="shared" si="0"/>
        <v>0</v>
      </c>
      <c r="AY7" s="109">
        <f t="shared" si="0"/>
        <v>0</v>
      </c>
      <c r="AZ7" s="109">
        <f t="shared" si="0"/>
        <v>0</v>
      </c>
      <c r="BA7" s="109">
        <f t="shared" si="0"/>
        <v>0</v>
      </c>
      <c r="BB7" s="109">
        <f t="shared" si="0"/>
        <v>0</v>
      </c>
      <c r="BC7" s="109">
        <f t="shared" si="0"/>
        <v>0</v>
      </c>
      <c r="BD7" s="109">
        <f t="shared" si="0"/>
        <v>0</v>
      </c>
      <c r="BE7" s="109">
        <f t="shared" si="0"/>
        <v>0</v>
      </c>
      <c r="BF7" s="109">
        <f t="shared" si="0"/>
        <v>0</v>
      </c>
      <c r="BG7" s="109">
        <f t="shared" si="0"/>
        <v>0</v>
      </c>
      <c r="BH7" s="109">
        <f t="shared" si="0"/>
        <v>0</v>
      </c>
    </row>
    <row r="8" spans="1:60">
      <c r="A8" s="94"/>
      <c r="B8" s="95"/>
      <c r="C8" s="97" t="str">
        <f>IF(D8="","",IF(MOD(MID(D8,17,1),2)=1,"男","女"))</f>
        <v/>
      </c>
      <c r="D8" s="96"/>
      <c r="E8" s="95"/>
      <c r="F8" s="95"/>
      <c r="G8" s="97" t="str">
        <f>IF(OR(设置!$B$22="",设置!$B$22="***市县"),"",IF(SUMPRODUCT((设置!$A$31:$A$38=设置!$B$22)*(1))+SUMPRODUCT((设置!$B$30:$B$38=设置!$B$22)*(1))+SUMPRODUCT((设置!$C$30:$C$38=设置!$B$22)*(1))+SUMPRODUCT((设置!$D$30:$D$38=设置!$B$22)*(1))+SUMPRODUCT((设置!$E$30:$E$38=设置!$B$22)*(1))=1,"是","否"))</f>
        <v/>
      </c>
      <c r="H8" s="97" t="str">
        <f>IF(OR(设置!$B$22="",设置!$B$22="***市县"),"",IF(SUMPRODUCT((设置!$F$31:$F$38=设置!$B$22)*(1))+SUMPRODUCT((设置!$H$30:$H$38=设置!$B$22)*(1))+SUMPRODUCT((设置!$I$30:$I$38=设置!$B$22)*(1))+SUMPRODUCT((设置!$J$30:$J$38=设置!$B$22)*(1))+SUMPRODUCT((设置!$K$30:$K$31=设置!$B$22)*(1))=1,"比照西部地区","中部地区"))</f>
        <v/>
      </c>
      <c r="I8" s="143"/>
      <c r="J8" s="113"/>
      <c r="K8" s="98"/>
      <c r="L8" s="98"/>
      <c r="M8" s="98"/>
      <c r="N8" s="113"/>
      <c r="O8" s="114" t="str">
        <f>IF(I8="个人",IF(P8&lt;设置!$D$41,IF(N8&gt;15,"超额",),IF(AND(P8&gt;=设置!$D$41,P8&lt;设置!$H$41),IF(N8&gt;20,"超额",),IF(P8&gt;=设置!$H$41,IF(N8&gt;30,"超额",)))),IF(P8&lt;设置!$D$41,IF(AND(N8&lt;=J8*15,N8&lt;=50),"",IF(AND(N8&gt;J8*15,J8*15&lt;=50),J8*15,"超额")),IF(AND(P8&gt;=设置!$D$41,P8&lt;设置!$H$41),IF(AND(N8&lt;=J8*20*1.1,N8&lt;=300),"",IF(AND(N8&gt;J8*20*1.1,J8*20*1.1&lt;=300),"超额","超额")),IF(AND(P8&gt;=设置!$H$41,P8&lt;设置!$J$41),IF(AND(N8&lt;=J8*20*1.1,N8&lt;=300),"",IF(AND(N8&gt;J8*20*1.1,J8*20*1.1&lt;=300),"超额","超额")),IF(P8&gt;=设置!$J$41,IF(AND(N8&lt;=J8*30*1.1,N8&lt;=400),"",IF(AND(N8&gt;J8*30*1.1,J8*30*1.1&lt;=400),"超额","超额")))))))</f>
        <v/>
      </c>
      <c r="P8" s="115"/>
      <c r="Q8" s="147">
        <f>P8</f>
        <v>0</v>
      </c>
      <c r="R8" s="115"/>
      <c r="S8" s="125" t="str">
        <f>IF(OR(IF(Q8&gt;=DATE(YEAR(设置!$D$23)-3,MONTH(设置!$D$23),DAY(设置!$D$23)),"","错误")="错误",IF(R8&gt;DATE(YEAR(Q8)+3,MONTH(Q8),DAY(Q8)),"错误","")="错误"),"错误","")</f>
        <v>错误</v>
      </c>
      <c r="T8" s="126"/>
      <c r="U8" s="127">
        <f>IF(P8="",,VLOOKUP(P8,设置!$M$2:$O$6666,2,TRUE))</f>
        <v>0</v>
      </c>
      <c r="V8" s="114" t="e">
        <f>IF(P8&lt;设置!$J$23,IF(OR(U8=VLOOKUP(P8,设置!$M$2:$O$6666,2,TRUE),U8=VLOOKUP(P8,设置!$M$2:$O$6666,3,TRUE)),"","检查"),IF(U8=VLOOKUP(P8,设置!$M$2:$O$6666,2,TRUE),"","检查"))</f>
        <v>#N/A</v>
      </c>
      <c r="W8" s="113"/>
      <c r="X8" s="114" t="str">
        <f>IF(P8&lt;设置!$D$41,IF(AND(G8="是",W8&lt;=3),"",IF(AND(G8="否",W8&lt;=2),"","错误")),IF(AND(G8="是",W8&lt;=2.5),"",IF(AND(G8="否",W8&lt;=1.5),"","错误")))</f>
        <v>错误</v>
      </c>
      <c r="Y8" s="133">
        <f>IF(X8="",U8+W8,)</f>
        <v>0</v>
      </c>
      <c r="Z8" s="133">
        <f>IF(X8="",IF(P8&gt;=设置!$J$41,Y8*50%,IF(AND(P8&lt;设置!$J$41,P8&gt;=设置!$E$41),W8+1.5,IF(P8&lt;设置!$E$41,Y8,))),)</f>
        <v>0</v>
      </c>
      <c r="AA8" s="128">
        <f>IF(O8="超额",,IF(AND(J8&lt;2,I8="合伙"),,IF(P8&lt;设置!$D$41,IF(I8="个人",IF(N8&lt;15,N8,15),IF(AND(N8&lt;=J8*15,N8&lt;=50),N8,IF(AND(N8&gt;J8*15,J8*15&lt;=50),J8*15,50))),IF(AND(P8&gt;=设置!$D$41,P8&lt;设置!$H$41),IF(I8="个人",IF(N8&lt;20,N8,20),IF(AND(N8&lt;=J8*20*1.1,N8&lt;=300),N8,IF(AND(N8&gt;J8*20*1.1,J8*20*1.1&lt;=300),J8*20*1.1,300))),IF(AND(P8&gt;=设置!$H$41,P8&lt;设置!$J$41),IF(I8="个人",IF(N8&lt;20,N8,20),IF(AND(N8&lt;=J8*20*1.1,N8&lt;=300),N8,IF(AND(N8&gt;J8*20*1.1,J8*20*1.1&lt;=300),J8*20*1.1,300))),IF(P8&gt;=设置!$J$41,IF(I8="个人",IF(N8&lt;30,N8,30),IF(AND(N8&lt;=J8*30*1.1,N8&lt;=400),N8,IF(AND(N8&gt;J8*30*1.1,J8*30*1.1&lt;=400),J8*30*1.1,400)))))))))</f>
        <v>0</v>
      </c>
      <c r="AB8" s="128">
        <f>IF(O8="超额",,N8-AA8)</f>
        <v>0</v>
      </c>
      <c r="AC8" s="128">
        <f>MAX(ROUND(N8*Y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D8" s="128">
        <f>MAX(ROUND(AA8*Z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E8" s="128">
        <f>ROUND(IF(P8&gt;=设置!$J$41,AD8*70%,IF(H8="中部地区",AD8*50%,AD8*70%)),6)</f>
        <v>0</v>
      </c>
      <c r="AF8" s="128">
        <f>ROUND(IF(P8&gt;=设置!$J$41,0,IF(H8="中部地区",AD8*25%,AD8*15%)),6)</f>
        <v>0</v>
      </c>
      <c r="AG8" s="128">
        <f>AD8-AE8-AF8</f>
        <v>0</v>
      </c>
      <c r="AH8" s="128">
        <f>MAX(ROUND(AB8*Z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I8" s="136"/>
      <c r="AJ8" s="128">
        <f>AC8-AD8-AI8</f>
        <v>0</v>
      </c>
      <c r="AK8" s="128">
        <f>MAX(ROUND(N8*Y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L8" s="128">
        <f>MAX(ROUND(AA8*Z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M8" s="128">
        <f>IF(P8&gt;=设置!$J$41,ROUND(AL8*70%,6),IF(H8="中部地区",ROUND(AL8*50%,6),ROUND(AL8*70%,6)))</f>
        <v>0</v>
      </c>
      <c r="AN8" s="128">
        <f>IF(P8&gt;=设置!$J$41,0,IF(H8="中部地区",ROUND(AL8*25%,6),ROUND(AL8*15%,6)))</f>
        <v>0</v>
      </c>
      <c r="AO8" s="128">
        <f>AL8-AM8-AN8</f>
        <v>0</v>
      </c>
      <c r="AP8" s="128">
        <f>MAX(ROUND(AB8*Z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Q8" s="136"/>
      <c r="AR8" s="128">
        <f>AK8-AL8-AQ8</f>
        <v>0</v>
      </c>
      <c r="AS8" s="128">
        <f>MAX(ROUND(N8*Y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AT8" s="128">
        <f>MAX(ROUND(AA8*Z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AU8" s="128">
        <f>IF(P8&gt;=设置!$J$41,ROUND(AT8*70%,6),IF(H8="中部地区",ROUND(AT8*50%,6),ROUND(AT8*70%,6)))</f>
        <v>0</v>
      </c>
      <c r="AV8" s="128">
        <f>IF(P8&gt;=设置!$J$41,0,IF(H8="中部地区",ROUND(AT8*25%,6),ROUND(AT8*15%,6)))</f>
        <v>0</v>
      </c>
      <c r="AW8" s="128">
        <f>AT8-AU8-AV8</f>
        <v>0</v>
      </c>
      <c r="AX8" s="128">
        <f>MAX(ROUND(AB8*Z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AY8" s="136"/>
      <c r="AZ8" s="128">
        <f>AS8-AT8-AY8</f>
        <v>0</v>
      </c>
      <c r="BA8" s="128">
        <f>MAX(ROUND(N8*Y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B8" s="128">
        <f>MAX(ROUND(AA8*Z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C8" s="128">
        <f>IF(P8&gt;=设置!$J$41,ROUND(BB8*70%,6),IF(H8="中部地区",ROUND(BB8*50%,6),ROUND(BB8*70%,6)))</f>
        <v>0</v>
      </c>
      <c r="BD8" s="128">
        <f>IF(P8&gt;=设置!$J$41,0,IF(H8="中部地区",ROUND(BB8*25%,6),ROUND(BB8*15%,6)))</f>
        <v>0</v>
      </c>
      <c r="BE8" s="128">
        <f>BB8-BC8-BD8</f>
        <v>0</v>
      </c>
      <c r="BF8" s="128">
        <f>MAX(ROUND(AB8*Z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G8" s="136"/>
      <c r="BH8" s="128">
        <f>BA8-BB8-BG8</f>
        <v>0</v>
      </c>
    </row>
    <row r="9" spans="1:60">
      <c r="A9" s="98">
        <v>100001</v>
      </c>
      <c r="B9" s="98" t="s">
        <v>209</v>
      </c>
      <c r="C9" s="100" t="str">
        <f>IF(D9="","",IF(MOD(MID(D9,17,1),2)=1,"男","女"))</f>
        <v>女</v>
      </c>
      <c r="D9" s="237" t="s">
        <v>210</v>
      </c>
      <c r="E9" s="98" t="s">
        <v>211</v>
      </c>
      <c r="F9" s="98" t="s">
        <v>212</v>
      </c>
      <c r="G9" s="100" t="str">
        <f>IF(OR(设置!$B$22="",设置!$B$22="***市县"),"",IF(SUMPRODUCT((设置!$A$31:$A$38=设置!$B$22)*(1))+SUMPRODUCT((设置!$B$30:$B$38=设置!$B$22)*(1))+SUMPRODUCT((设置!$C$30:$C$38=设置!$B$22)*(1))+SUMPRODUCT((设置!$D$30:$D$38=设置!$B$22)*(1))+SUMPRODUCT((设置!$E$30:$E$38=设置!$B$22)*(1))=1,"是","否"))</f>
        <v/>
      </c>
      <c r="H9" s="100" t="str">
        <f>IF(OR(设置!$B$22="",设置!$B$22="***市县"),"",IF(SUMPRODUCT((设置!$F$31:$F$38=设置!$B$22)*(1))+SUMPRODUCT((设置!$H$30:$H$38=设置!$B$22)*(1))+SUMPRODUCT((设置!$I$30:$I$38=设置!$B$22)*(1))+SUMPRODUCT((设置!$J$30:$J$38=设置!$B$22)*(1))+SUMPRODUCT((设置!$K$30:$K$31=设置!$B$22)*(1))=1,"比照西部地区","中部地区"))</f>
        <v/>
      </c>
      <c r="I9" s="144"/>
      <c r="J9" s="113"/>
      <c r="K9" s="98"/>
      <c r="L9" s="98"/>
      <c r="M9" s="98"/>
      <c r="N9" s="113"/>
      <c r="O9" s="100" t="str">
        <f>IF(I9="个人",IF(P9&lt;设置!$D$41,IF(N9&gt;15,"超额",),IF(AND(P9&gt;=设置!$D$41,P9&lt;设置!$H$41),IF(N9&gt;20,"超额",),IF(P9&gt;=设置!$H$41,IF(N9&gt;30,"超额",)))),IF(P9&lt;设置!$D$41,IF(AND(N9&lt;=J9*15,N9&lt;=50),"",IF(AND(N9&gt;J9*15,J9*15&lt;=50),J9*15,"超额")),IF(AND(P9&gt;=设置!$D$41,P9&lt;设置!$H$41),IF(AND(N9&lt;=J9*20*1.1,N9&lt;=300),"",IF(AND(N9&gt;J9*20*1.1,J9*20*1.1&lt;=300),"超额","超额")),IF(AND(P9&gt;=设置!$H$41,P9&lt;设置!$J$41),IF(AND(N9&lt;=J9*20*1.1,N9&lt;=300),"",IF(AND(N9&gt;J9*20*1.1,J9*20*1.1&lt;=300),"超额","超额")),IF(P9&gt;=设置!$J$41,IF(AND(N9&lt;=J9*30*1.1,N9&lt;=400),"",IF(AND(N9&gt;J9*30*1.1,J9*30*1.1&lt;=400),"超额","超额")))))))</f>
        <v/>
      </c>
      <c r="P9" s="115">
        <v>43863</v>
      </c>
      <c r="Q9" s="124">
        <v>44595</v>
      </c>
      <c r="R9" s="115"/>
      <c r="S9" s="129" t="str">
        <f>IF(OR(IF(Q9&gt;=DATE(YEAR(设置!$D$23)-3,MONTH(设置!$D$23),DAY(设置!$D$23)),"","错误")="错误",IF(R9&gt;DATE(YEAR(Q9)+3,MONTH(Q9),DAY(Q9)),"错误","")="错误"),"错误","")</f>
        <v/>
      </c>
      <c r="T9" s="148"/>
      <c r="U9" s="127">
        <f>IF(P9="",,VLOOKUP(P9,设置!$M$2:$O$6666,2,TRUE))</f>
        <v>4.15</v>
      </c>
      <c r="V9" s="100" t="str">
        <f>IF(P9&lt;设置!$J$23,IF(OR(U9=VLOOKUP(P9,设置!$M$2:$O$6666,2,TRUE),U9=VLOOKUP(P9,设置!$M$2:$O$6666,3,TRUE)),"","检查"),IF(U9=VLOOKUP(P9,设置!$M$2:$O$6666,2,TRUE),"","检查"))</f>
        <v/>
      </c>
      <c r="W9" s="113"/>
      <c r="X9" s="100" t="str">
        <f>IF(P9&lt;设置!$D$41,IF(AND(G9="是",W9&lt;=3),"",IF(AND(G9="否",W9&lt;=2),"","错误")),IF(AND(G9="是",W9&lt;=2.5),"",IF(AND(G9="否",W9&lt;=1.5),"","错误")))</f>
        <v>错误</v>
      </c>
      <c r="Y9" s="134">
        <f>IF(X9="",U9+W9,)</f>
        <v>0</v>
      </c>
      <c r="Z9" s="134">
        <f>IF(X9="",IF(P9&gt;=设置!$J$41,Y9*50%,IF(AND(P9&lt;设置!$J$41,P9&gt;=设置!$E$41),W9+1.5,IF(P9&lt;设置!$E$41,Y9,))),)</f>
        <v>0</v>
      </c>
      <c r="AA9" s="134">
        <f>IF(O9="超额",,IF(AND(J9&lt;2,I9="合伙"),,IF(P9&lt;设置!$D$41,IF(I9="个人",IF(N9&lt;15,N9,15),IF(AND(N9&lt;=J9*15,N9&lt;=50),N9,IF(AND(N9&gt;J9*15,J9*15&lt;=50),J9*15,50))),IF(AND(P9&gt;=设置!$D$41,P9&lt;设置!$H$41),IF(I9="个人",IF(N9&lt;20,N9,20),IF(AND(N9&lt;=J9*20*1.1,N9&lt;=300),N9,IF(AND(N9&gt;J9*20*1.1,J9*20*1.1&lt;=300),J9*20*1.1,300))),IF(AND(P9&gt;=设置!$H$41,P9&lt;设置!$J$41),IF(I9="个人",IF(N9&lt;20,N9,20),IF(AND(N9&lt;=J9*20*1.1,N9&lt;=300),N9,IF(AND(N9&gt;J9*20*1.1,J9*20*1.1&lt;=300),J9*20*1.1,300))),IF(P9&gt;=设置!$J$41,IF(I9="个人",IF(N9&lt;30,N9,30),IF(AND(N9&lt;=J9*30*1.1,N9&lt;=400),N9,IF(AND(N9&gt;J9*30*1.1,J9*30*1.1&lt;=400),J9*30*1.1,400)))))))))</f>
        <v>0</v>
      </c>
      <c r="AB9" s="134">
        <f>IF(O9="超额",,N9-AA9)</f>
        <v>0</v>
      </c>
      <c r="AC9" s="130">
        <f>MAX(ROUND(N9*Y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D9" s="130">
        <f>MAX(ROUND(AA9*Z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E9" s="130">
        <f>ROUND(IF(P9&gt;=设置!$J$41,AD9*70%,IF(H9="中部地区",AD9*50%,AD9*70%)),6)</f>
        <v>0</v>
      </c>
      <c r="AF9" s="130">
        <f>ROUND(IF(P9&gt;=设置!$J$41,0,IF(H9="中部地区",AD9*25%,AD9*15%)),6)</f>
        <v>0</v>
      </c>
      <c r="AG9" s="130">
        <f>AD9-AE9-AF9</f>
        <v>0</v>
      </c>
      <c r="AH9" s="130">
        <f>MAX(ROUND(AB9*Z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I9" s="136"/>
      <c r="AJ9" s="130">
        <f>AC9-AD9-AI9</f>
        <v>0</v>
      </c>
      <c r="AK9" s="130">
        <f>MAX(ROUND(N9*Y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L9" s="130">
        <f>MAX(ROUND(AA9*Z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M9" s="130">
        <f>IF(P9&gt;=设置!$J$41,ROUND(AL9*70%,6),IF(H9="中部地区",ROUND(AL9*50%,6),ROUND(AL9*70%,6)))</f>
        <v>0</v>
      </c>
      <c r="AN9" s="130">
        <f>IF(P9&gt;=设置!$J$41,0,IF(H9="中部地区",ROUND(AL9*25%,6),ROUND(AL9*15%,6)))</f>
        <v>0</v>
      </c>
      <c r="AO9" s="130">
        <f>AL9-AM9-AN9</f>
        <v>0</v>
      </c>
      <c r="AP9" s="130">
        <f>MAX(ROUND(AB9*Z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Q9" s="136"/>
      <c r="AR9" s="130">
        <f>AK9-AL9-AQ9</f>
        <v>0</v>
      </c>
      <c r="AS9" s="130">
        <f>MAX(ROUND(N9*Y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AT9" s="130">
        <f>MAX(ROUND(AA9*Z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AU9" s="130">
        <f>IF(P9&gt;=设置!$J$41,ROUND(AT9*70%,6),IF(H9="中部地区",ROUND(AT9*50%,6),ROUND(AT9*70%,6)))</f>
        <v>0</v>
      </c>
      <c r="AV9" s="130">
        <f>IF(P9&gt;=设置!$J$41,0,IF(H9="中部地区",ROUND(AT9*25%,6),ROUND(AT9*15%,6)))</f>
        <v>0</v>
      </c>
      <c r="AW9" s="130">
        <f>AT9-AU9-AV9</f>
        <v>0</v>
      </c>
      <c r="AX9" s="130">
        <f>MAX(ROUND(AB9*Z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AY9" s="136"/>
      <c r="AZ9" s="130">
        <f>AS9-AT9-AY9</f>
        <v>0</v>
      </c>
      <c r="BA9" s="130">
        <f>MAX(ROUND(N9*Y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B9" s="130">
        <f>MAX(ROUND(AA9*Z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C9" s="130">
        <f>IF(P9&gt;=设置!$J$41,ROUND(BB9*70%,6),IF(H9="中部地区",ROUND(BB9*50%,6),ROUND(BB9*70%,6)))</f>
        <v>0</v>
      </c>
      <c r="BD9" s="130">
        <f>IF(P9&gt;=设置!$J$41,0,IF(H9="中部地区",ROUND(BB9*25%,6),ROUND(BB9*15%,6)))</f>
        <v>0</v>
      </c>
      <c r="BE9" s="130">
        <f>BB9-BC9-BD9</f>
        <v>0</v>
      </c>
      <c r="BF9" s="130">
        <f>MAX(ROUND(AB9*Z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G9" s="136"/>
      <c r="BH9" s="130">
        <f>BA9-BB9-BG9</f>
        <v>0</v>
      </c>
    </row>
    <row r="11" spans="15:15">
      <c r="O11" s="145" t="s">
        <v>213</v>
      </c>
    </row>
    <row r="12" spans="1:1">
      <c r="A12" s="81" t="s">
        <v>214</v>
      </c>
    </row>
    <row r="13" spans="11:11">
      <c r="K13" s="146"/>
    </row>
  </sheetData>
  <sheetProtection password="CB92" sheet="1" formatCells="0" formatRows="0" sort="0" autoFilter="0" pivotTables="0" objects="1"/>
  <autoFilter ref="A2:BH13">
    <extLst/>
  </autoFilter>
  <mergeCells count="53">
    <mergeCell ref="U3:Z3"/>
    <mergeCell ref="AA3:AB3"/>
    <mergeCell ref="AC3:AJ3"/>
    <mergeCell ref="AK3:AR3"/>
    <mergeCell ref="AS3:AZ3"/>
    <mergeCell ref="BA3:BH3"/>
    <mergeCell ref="W4:X4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5:W6"/>
    <mergeCell ref="X5:X6"/>
    <mergeCell ref="Y4:Y6"/>
    <mergeCell ref="Z4:Z6"/>
    <mergeCell ref="AA4:AA6"/>
    <mergeCell ref="AB4:AB6"/>
    <mergeCell ref="AC4:AC6"/>
    <mergeCell ref="AJ4:AJ6"/>
    <mergeCell ref="AK4:AK6"/>
    <mergeCell ref="AR4:AR6"/>
    <mergeCell ref="AS4:AS6"/>
    <mergeCell ref="AZ4:AZ6"/>
    <mergeCell ref="BA4:BA6"/>
    <mergeCell ref="BH4:BH6"/>
    <mergeCell ref="N3:O4"/>
    <mergeCell ref="P3:T4"/>
    <mergeCell ref="AD4:AG5"/>
    <mergeCell ref="AL4:AO5"/>
    <mergeCell ref="AT4:AW5"/>
    <mergeCell ref="BB4:BE5"/>
    <mergeCell ref="AH4:AI5"/>
    <mergeCell ref="AP4:AQ5"/>
    <mergeCell ref="AX4:AY5"/>
    <mergeCell ref="BF4:BG5"/>
  </mergeCells>
  <dataValidations count="27">
    <dataValidation allowBlank="1" showInputMessage="1" showErrorMessage="1" prompt="请填写正确的日期，格式2023-10-1" sqref="P3:R3 S3 T3"/>
    <dataValidation allowBlank="1" showInputMessage="1" showErrorMessage="1" prompt="提前归还的贷款，请在此列填写还款日期" sqref="T4"/>
    <dataValidation allowBlank="1" showInputMessage="1" showErrorMessage="1" prompt="请下拉选项，选择是或否。贫困地区名单详见“说明”。" sqref="G5 G6 G3:G4"/>
    <dataValidation allowBlank="1" showInputMessage="1" showErrorMessage="1" prompt="请填写经营所在地所属的乡镇街道路号" sqref="F5 F6 F3:F4"/>
    <dataValidation type="list" allowBlank="1" showInputMessage="1" showErrorMessage="1" sqref="G7 G10 G8:G9 G11:G1048576">
      <formula1>"是,否"</formula1>
    </dataValidation>
    <dataValidation allowBlank="1" showInputMessage="1" showErrorMessage="1" prompt="请填写正确的贷款人姓名，合伙人贷款请填写发起人姓名" sqref="B5 B6 B3:B4"/>
    <dataValidation allowBlank="1" showInputMessage="1" showErrorMessage="1" prompt="请下拉选项，选择贷款人或合伙贷款发起人性别，男或女" sqref="C5 C6 C3:C4"/>
    <dataValidation allowBlank="1" showInputMessage="1" showErrorMessage="1" prompt="请填写正确的18位身份证号码" sqref="D5 D6 D3:D4"/>
    <dataValidation allowBlank="1" showInputMessage="1" showErrorMessage="1" prompt="该项为实际贷款额度中不符合中央和省贴息条件的贷款额度" sqref="AB5 AB6 AB3:AB4"/>
    <dataValidation allowBlank="1" showInputMessage="1" showErrorMessage="1" prompt="提前归还的贷款，请填写实际还款日期" sqref="T5"/>
    <dataValidation allowBlank="1" showInputMessage="1" showErrorMessage="1" prompt="请填写县（市、区）级地方名称。如武汉市武昌区，填写武昌区;襄阳市南漳县，填写南漳县。" sqref="E5 E6 E3:E4"/>
    <dataValidation allowBlank="1" showInputMessage="1" showErrorMessage="1" prompt="请下拉选项，选择中部地区或比照西部地区" sqref="H5 H6 H3:H4"/>
    <dataValidation allowBlank="1" showInputMessage="1" showErrorMessage="1" prompt="请下拉选项，选择个人或合伙" sqref="I5 I6 I3:I4"/>
    <dataValidation allowBlank="1" showInputMessage="1" showErrorMessage="1" prompt="请填写合伙贷款的实际人数" sqref="J5 J6 J3:J4"/>
    <dataValidation allowBlank="1" showInputMessage="1" showErrorMessage="1" prompt="请下拉选项选择相关选项" sqref="K5 K6 K3:K4"/>
    <dataValidation allowBlank="1" showInputMessage="1" showErrorMessage="1" prompt="请填写贷款用途" sqref="L5 L6 L3:L4"/>
    <dataValidation type="list" allowBlank="1" showInputMessage="1" showErrorMessage="1" sqref="H7 H10 H8:H9 H11:H1048576">
      <formula1>"中部地区,比照西部地区"</formula1>
    </dataValidation>
    <dataValidation allowBlank="1" showInputMessage="1" showErrorMessage="1" prompt="该项为实际贷款额度中符合中央和省贴息条件的贷款额度" sqref="AA5 AA6 AA3:AA4"/>
    <dataValidation type="textLength" operator="between" allowBlank="1" showInputMessage="1" showErrorMessage="1" sqref="B7 B8 B9:B10 B11:B1048576">
      <formula1>2</formula1>
      <formula2>4</formula2>
    </dataValidation>
    <dataValidation type="list" allowBlank="1" showInputMessage="1" showErrorMessage="1" sqref="C7 C8 C9:C10 C11:C1048576">
      <formula1>"男,女"</formula1>
    </dataValidation>
    <dataValidation type="textLength" operator="equal" allowBlank="1" showInputMessage="1" showErrorMessage="1" sqref="D7 D8 D9:D10 D11:D1048576">
      <formula1>18</formula1>
    </dataValidation>
    <dataValidation type="list" allowBlank="1" showInputMessage="1" showErrorMessage="1" sqref="I7 I8 I9:I10 I11:I1048576">
      <formula1>"个人,合伙"</formula1>
    </dataValidation>
    <dataValidation type="date" operator="greaterThanOrEqual" allowBlank="1" showInputMessage="1" showErrorMessage="1" sqref="P7 Q7:R7 S7 P8 Q8 R8 R9 R10 S10 P9:P1048576 Q9:Q10 S11:S1048576 T7:T8 T9:T10 T11:T1048576 Q11:R1048576">
      <formula1>43831</formula1>
    </dataValidation>
    <dataValidation type="whole" operator="greaterThanOrEqual" allowBlank="1" showInputMessage="1" showErrorMessage="1" sqref="J8 N8 J9:J1048576">
      <formula1>2</formula1>
    </dataValidation>
    <dataValidation type="list" allowBlank="1" showInputMessage="1" showErrorMessage="1" sqref="K8">
      <formula1>"城镇登记失业人员,就业困难人员(含残疾人),退役军人,刑满释放人员,高校毕业生(含大学生村官和留学回国学生),化解过剩产能企业职工和失业人员,返乡创业农民工,网络商户,脱贫人口,农村自主创业农民"</formula1>
    </dataValidation>
    <dataValidation type="list" allowBlank="1" showInputMessage="1" showErrorMessage="1" prompt="请下拉选项选择相关选项" sqref="K9:K1048576">
      <formula1>"城镇登记失业人员,就业困难人员(含残疾人),退役军人,刑满释放人员,高校毕业生(含大学生村官和留学回国学生),化解过剩产能企业职工和失业人员,返乡创业农民工,网络商户,脱贫人口,农村自主创业农民"</formula1>
    </dataValidation>
    <dataValidation type="list" allowBlank="1" showInputMessage="1" showErrorMessage="1" sqref="M8:M1048576">
      <formula1>'1季统计'!$A$35:$A$64</formula1>
    </dataValidation>
  </dataValidations>
  <pageMargins left="0.700694444444445" right="0.700694444444445" top="0.751388888888889" bottom="0.751388888888889" header="0.298611111111111" footer="0.298611111111111"/>
  <pageSetup paperSize="8" scale="95" orientation="landscape" horizontalDpi="600"/>
  <headerFooter>
    <oddHeader>&amp;L内部资料，禁止外传</oddHeader>
  </headerFooter>
  <ignoredErrors>
    <ignoredError sqref="D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12"/>
  <sheetViews>
    <sheetView showZeros="0" workbookViewId="0">
      <pane xSplit="4" ySplit="7" topLeftCell="E8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2"/>
  <cols>
    <col min="1" max="1" width="10.5" style="79" customWidth="1"/>
    <col min="2" max="2" width="17.625" style="79" customWidth="1"/>
    <col min="3" max="3" width="9.25" style="79" customWidth="1"/>
    <col min="4" max="4" width="19.275" style="80" customWidth="1"/>
    <col min="5" max="5" width="9" style="79"/>
    <col min="6" max="6" width="25.125" style="79" customWidth="1"/>
    <col min="7" max="7" width="4.54166666666667" style="79" customWidth="1"/>
    <col min="8" max="8" width="8.54166666666667" style="79" customWidth="1"/>
    <col min="9" max="10" width="5" style="81" customWidth="1"/>
    <col min="11" max="11" width="4.625" style="82" customWidth="1"/>
    <col min="12" max="13" width="9" style="83"/>
    <col min="14" max="14" width="5" style="81" customWidth="1"/>
    <col min="15" max="15" width="4.5" style="79" customWidth="1"/>
    <col min="16" max="16" width="10.4583333333333" style="84" customWidth="1"/>
    <col min="17" max="17" width="10.125" style="84"/>
    <col min="18" max="18" width="9.725" style="84"/>
    <col min="19" max="19" width="5.5" style="84" customWidth="1"/>
    <col min="20" max="20" width="9.725" style="84"/>
    <col min="21" max="28" width="5" style="81" customWidth="1"/>
    <col min="29" max="66" width="10.0916666666667" style="83" customWidth="1"/>
    <col min="67" max="67" width="9" style="83"/>
    <col min="68" max="68" width="9.25" style="83"/>
    <col min="69" max="16384" width="9" style="83"/>
  </cols>
  <sheetData>
    <row r="1" s="77" customFormat="1" ht="18.75" spans="1:28">
      <c r="A1" s="85" t="str">
        <f>设置!B22&amp;(IF(YEAR(设置!D23)&lt;2021/1/1,"0000",YEAR(设置!D23)))&amp;设置!C28&amp;设置!A23&amp;设置!C24</f>
        <v>***市县2025年创业担保贷款财政贴息明细表(企业贷款)</v>
      </c>
      <c r="B1" s="86"/>
      <c r="C1" s="86"/>
      <c r="D1" s="87"/>
      <c r="E1" s="86"/>
      <c r="F1" s="86"/>
      <c r="G1" s="86"/>
      <c r="H1" s="86"/>
      <c r="I1" s="103"/>
      <c r="J1" s="103"/>
      <c r="K1" s="104"/>
      <c r="N1" s="103"/>
      <c r="O1" s="86"/>
      <c r="P1" s="105"/>
      <c r="Q1" s="105"/>
      <c r="R1" s="105"/>
      <c r="S1" s="105"/>
      <c r="T1" s="105"/>
      <c r="U1" s="103"/>
      <c r="V1" s="103"/>
      <c r="W1" s="103"/>
      <c r="X1" s="103"/>
      <c r="Y1" s="103"/>
      <c r="Z1" s="103"/>
      <c r="AA1" s="103"/>
      <c r="AB1" s="103"/>
    </row>
    <row r="2" s="77" customFormat="1" spans="1:28">
      <c r="A2" s="86"/>
      <c r="B2" s="86"/>
      <c r="C2" s="86"/>
      <c r="D2" s="87"/>
      <c r="E2" s="86"/>
      <c r="F2" s="86"/>
      <c r="G2" s="86"/>
      <c r="H2" s="86"/>
      <c r="I2" s="103"/>
      <c r="J2" s="103"/>
      <c r="K2" s="104"/>
      <c r="N2" s="103"/>
      <c r="O2" s="86"/>
      <c r="P2" s="105"/>
      <c r="Q2" s="105"/>
      <c r="R2" s="105"/>
      <c r="S2" s="105"/>
      <c r="T2" s="105"/>
      <c r="U2" s="103"/>
      <c r="V2" s="103"/>
      <c r="W2" s="103"/>
      <c r="X2" s="103"/>
      <c r="Y2" s="103"/>
      <c r="Z2" s="103"/>
      <c r="AA2" s="103"/>
      <c r="AB2" s="131" t="s">
        <v>165</v>
      </c>
    </row>
    <row r="3" s="41" customFormat="1" spans="1:68">
      <c r="A3" s="63" t="s">
        <v>166</v>
      </c>
      <c r="B3" s="63" t="s">
        <v>215</v>
      </c>
      <c r="C3" s="63" t="s">
        <v>216</v>
      </c>
      <c r="D3" s="88" t="s">
        <v>217</v>
      </c>
      <c r="E3" s="63" t="s">
        <v>170</v>
      </c>
      <c r="F3" s="63" t="s">
        <v>171</v>
      </c>
      <c r="G3" s="63" t="s">
        <v>172</v>
      </c>
      <c r="H3" s="63" t="s">
        <v>173</v>
      </c>
      <c r="I3" s="63" t="s">
        <v>218</v>
      </c>
      <c r="J3" s="63" t="s">
        <v>219</v>
      </c>
      <c r="K3" s="63"/>
      <c r="L3" s="106" t="s">
        <v>177</v>
      </c>
      <c r="M3" s="63" t="s">
        <v>178</v>
      </c>
      <c r="N3" s="63" t="s">
        <v>179</v>
      </c>
      <c r="O3" s="63"/>
      <c r="P3" s="107" t="s">
        <v>180</v>
      </c>
      <c r="Q3" s="107"/>
      <c r="R3" s="107"/>
      <c r="S3" s="107"/>
      <c r="T3" s="107"/>
      <c r="U3" s="106" t="s">
        <v>181</v>
      </c>
      <c r="V3" s="106"/>
      <c r="W3" s="106"/>
      <c r="X3" s="106"/>
      <c r="Y3" s="106"/>
      <c r="Z3" s="106"/>
      <c r="AA3" s="63" t="s">
        <v>179</v>
      </c>
      <c r="AB3" s="63"/>
      <c r="AC3" s="106" t="s">
        <v>182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 t="s">
        <v>183</v>
      </c>
      <c r="AN3" s="106"/>
      <c r="AO3" s="106"/>
      <c r="AP3" s="106"/>
      <c r="AQ3" s="106"/>
      <c r="AR3" s="106"/>
      <c r="AS3" s="106"/>
      <c r="AT3" s="106"/>
      <c r="AU3" s="106"/>
      <c r="AV3" s="106"/>
      <c r="AW3" s="106" t="s">
        <v>184</v>
      </c>
      <c r="AX3" s="106"/>
      <c r="AY3" s="106"/>
      <c r="AZ3" s="106"/>
      <c r="BA3" s="106"/>
      <c r="BB3" s="106"/>
      <c r="BC3" s="106"/>
      <c r="BD3" s="106"/>
      <c r="BE3" s="106"/>
      <c r="BF3" s="106"/>
      <c r="BG3" s="106" t="s">
        <v>185</v>
      </c>
      <c r="BH3" s="106"/>
      <c r="BI3" s="106"/>
      <c r="BJ3" s="106"/>
      <c r="BK3" s="106"/>
      <c r="BL3" s="106"/>
      <c r="BM3" s="106"/>
      <c r="BN3" s="106"/>
      <c r="BO3" s="106"/>
      <c r="BP3" s="106"/>
    </row>
    <row r="4" s="78" customFormat="1" ht="23" customHeight="1" spans="1:68">
      <c r="A4" s="63"/>
      <c r="B4" s="63"/>
      <c r="C4" s="63"/>
      <c r="D4" s="88"/>
      <c r="E4" s="63"/>
      <c r="F4" s="63"/>
      <c r="G4" s="63"/>
      <c r="H4" s="63"/>
      <c r="I4" s="63"/>
      <c r="J4" s="63"/>
      <c r="K4" s="63"/>
      <c r="L4" s="106"/>
      <c r="M4" s="63"/>
      <c r="N4" s="63"/>
      <c r="O4" s="63"/>
      <c r="P4" s="107"/>
      <c r="Q4" s="107"/>
      <c r="R4" s="107"/>
      <c r="S4" s="107"/>
      <c r="T4" s="107"/>
      <c r="U4" s="63" t="s">
        <v>186</v>
      </c>
      <c r="V4" s="63" t="s">
        <v>187</v>
      </c>
      <c r="W4" s="63" t="s">
        <v>188</v>
      </c>
      <c r="X4" s="106"/>
      <c r="Y4" s="63" t="s">
        <v>106</v>
      </c>
      <c r="Z4" s="63" t="s">
        <v>110</v>
      </c>
      <c r="AA4" s="63" t="s">
        <v>189</v>
      </c>
      <c r="AB4" s="63" t="s">
        <v>190</v>
      </c>
      <c r="AC4" s="132" t="s">
        <v>220</v>
      </c>
      <c r="AD4" s="63" t="s">
        <v>192</v>
      </c>
      <c r="AE4" s="63"/>
      <c r="AF4" s="63"/>
      <c r="AG4" s="63"/>
      <c r="AH4" s="63" t="s">
        <v>221</v>
      </c>
      <c r="AI4" s="63"/>
      <c r="AJ4" s="63"/>
      <c r="AK4" s="63"/>
      <c r="AL4" s="63" t="s">
        <v>222</v>
      </c>
      <c r="AM4" s="63" t="s">
        <v>195</v>
      </c>
      <c r="AN4" s="63" t="s">
        <v>192</v>
      </c>
      <c r="AO4" s="63"/>
      <c r="AP4" s="63"/>
      <c r="AQ4" s="63"/>
      <c r="AR4" s="63" t="s">
        <v>221</v>
      </c>
      <c r="AS4" s="63"/>
      <c r="AT4" s="63"/>
      <c r="AU4" s="63"/>
      <c r="AV4" s="63" t="s">
        <v>222</v>
      </c>
      <c r="AW4" s="46" t="s">
        <v>195</v>
      </c>
      <c r="AX4" s="63" t="s">
        <v>192</v>
      </c>
      <c r="AY4" s="63"/>
      <c r="AZ4" s="63"/>
      <c r="BA4" s="63"/>
      <c r="BB4" s="63" t="s">
        <v>221</v>
      </c>
      <c r="BC4" s="63"/>
      <c r="BD4" s="63"/>
      <c r="BE4" s="63"/>
      <c r="BF4" s="63" t="s">
        <v>222</v>
      </c>
      <c r="BG4" s="46" t="s">
        <v>195</v>
      </c>
      <c r="BH4" s="63" t="s">
        <v>192</v>
      </c>
      <c r="BI4" s="63"/>
      <c r="BJ4" s="63"/>
      <c r="BK4" s="63"/>
      <c r="BL4" s="63" t="s">
        <v>221</v>
      </c>
      <c r="BM4" s="63"/>
      <c r="BN4" s="63"/>
      <c r="BO4" s="63"/>
      <c r="BP4" s="63" t="s">
        <v>222</v>
      </c>
    </row>
    <row r="5" s="78" customFormat="1" spans="1:68">
      <c r="A5" s="63"/>
      <c r="B5" s="63"/>
      <c r="C5" s="63"/>
      <c r="D5" s="88"/>
      <c r="E5" s="63"/>
      <c r="F5" s="63"/>
      <c r="G5" s="63"/>
      <c r="H5" s="63"/>
      <c r="I5" s="63"/>
      <c r="J5" s="63" t="s">
        <v>223</v>
      </c>
      <c r="K5" s="63" t="s">
        <v>197</v>
      </c>
      <c r="L5" s="106"/>
      <c r="M5" s="63"/>
      <c r="N5" s="63" t="s">
        <v>196</v>
      </c>
      <c r="O5" s="63" t="s">
        <v>197</v>
      </c>
      <c r="P5" s="107" t="s">
        <v>198</v>
      </c>
      <c r="Q5" s="107" t="s">
        <v>199</v>
      </c>
      <c r="R5" s="121" t="s">
        <v>200</v>
      </c>
      <c r="S5" s="122" t="s">
        <v>201</v>
      </c>
      <c r="T5" s="107" t="s">
        <v>202</v>
      </c>
      <c r="U5" s="63"/>
      <c r="V5" s="63"/>
      <c r="W5" s="63" t="s">
        <v>203</v>
      </c>
      <c r="X5" s="63" t="s">
        <v>197</v>
      </c>
      <c r="Y5" s="63"/>
      <c r="Z5" s="63"/>
      <c r="AA5" s="63"/>
      <c r="AB5" s="63"/>
      <c r="AC5" s="132"/>
      <c r="AD5" s="63" t="s">
        <v>204</v>
      </c>
      <c r="AE5" s="63" t="s">
        <v>205</v>
      </c>
      <c r="AF5" s="63" t="s">
        <v>206</v>
      </c>
      <c r="AG5" s="63" t="s">
        <v>207</v>
      </c>
      <c r="AH5" s="63" t="s">
        <v>206</v>
      </c>
      <c r="AI5" s="63" t="s">
        <v>207</v>
      </c>
      <c r="AJ5" s="63" t="s">
        <v>224</v>
      </c>
      <c r="AK5" s="63"/>
      <c r="AL5" s="63"/>
      <c r="AM5" s="63"/>
      <c r="AN5" s="63" t="s">
        <v>204</v>
      </c>
      <c r="AO5" s="63" t="s">
        <v>205</v>
      </c>
      <c r="AP5" s="63" t="s">
        <v>206</v>
      </c>
      <c r="AQ5" s="63" t="s">
        <v>207</v>
      </c>
      <c r="AR5" s="63" t="s">
        <v>206</v>
      </c>
      <c r="AS5" s="63" t="s">
        <v>207</v>
      </c>
      <c r="AT5" s="63" t="s">
        <v>224</v>
      </c>
      <c r="AU5" s="63"/>
      <c r="AV5" s="63"/>
      <c r="AW5" s="49"/>
      <c r="AX5" s="63" t="s">
        <v>204</v>
      </c>
      <c r="AY5" s="63" t="s">
        <v>205</v>
      </c>
      <c r="AZ5" s="63" t="s">
        <v>206</v>
      </c>
      <c r="BA5" s="63" t="s">
        <v>207</v>
      </c>
      <c r="BB5" s="63" t="s">
        <v>206</v>
      </c>
      <c r="BC5" s="63" t="s">
        <v>207</v>
      </c>
      <c r="BD5" s="63" t="s">
        <v>224</v>
      </c>
      <c r="BE5" s="63"/>
      <c r="BF5" s="63"/>
      <c r="BG5" s="49"/>
      <c r="BH5" s="63" t="s">
        <v>204</v>
      </c>
      <c r="BI5" s="63" t="s">
        <v>205</v>
      </c>
      <c r="BJ5" s="63" t="s">
        <v>206</v>
      </c>
      <c r="BK5" s="63" t="s">
        <v>207</v>
      </c>
      <c r="BL5" s="63" t="s">
        <v>206</v>
      </c>
      <c r="BM5" s="63" t="s">
        <v>207</v>
      </c>
      <c r="BN5" s="63" t="s">
        <v>224</v>
      </c>
      <c r="BO5" s="63"/>
      <c r="BP5" s="63"/>
    </row>
    <row r="6" s="41" customFormat="1" spans="1:68">
      <c r="A6" s="46"/>
      <c r="B6" s="46"/>
      <c r="C6" s="46"/>
      <c r="D6" s="89"/>
      <c r="E6" s="46"/>
      <c r="F6" s="46"/>
      <c r="G6" s="46"/>
      <c r="H6" s="46"/>
      <c r="I6" s="63"/>
      <c r="J6" s="63"/>
      <c r="K6" s="63"/>
      <c r="L6" s="106"/>
      <c r="M6" s="63"/>
      <c r="N6" s="63"/>
      <c r="O6" s="63"/>
      <c r="P6" s="107"/>
      <c r="Q6" s="107"/>
      <c r="R6" s="121"/>
      <c r="S6" s="123"/>
      <c r="T6" s="107"/>
      <c r="U6" s="63"/>
      <c r="V6" s="63"/>
      <c r="W6" s="63"/>
      <c r="X6" s="63"/>
      <c r="Y6" s="63"/>
      <c r="Z6" s="63"/>
      <c r="AA6" s="63"/>
      <c r="AB6" s="63"/>
      <c r="AC6" s="132"/>
      <c r="AD6" s="63"/>
      <c r="AE6" s="63"/>
      <c r="AF6" s="63"/>
      <c r="AG6" s="63"/>
      <c r="AH6" s="63"/>
      <c r="AI6" s="63"/>
      <c r="AJ6" s="63" t="s">
        <v>208</v>
      </c>
      <c r="AK6" s="63" t="s">
        <v>196</v>
      </c>
      <c r="AL6" s="63"/>
      <c r="AM6" s="63"/>
      <c r="AN6" s="63"/>
      <c r="AO6" s="63"/>
      <c r="AP6" s="63"/>
      <c r="AQ6" s="63"/>
      <c r="AR6" s="63"/>
      <c r="AS6" s="63"/>
      <c r="AT6" s="63" t="s">
        <v>208</v>
      </c>
      <c r="AU6" s="63" t="s">
        <v>196</v>
      </c>
      <c r="AV6" s="63"/>
      <c r="AW6" s="53"/>
      <c r="AX6" s="63"/>
      <c r="AY6" s="63"/>
      <c r="AZ6" s="63"/>
      <c r="BA6" s="63"/>
      <c r="BB6" s="63"/>
      <c r="BC6" s="63"/>
      <c r="BD6" s="63" t="s">
        <v>208</v>
      </c>
      <c r="BE6" s="63" t="s">
        <v>196</v>
      </c>
      <c r="BF6" s="63"/>
      <c r="BG6" s="53"/>
      <c r="BH6" s="63"/>
      <c r="BI6" s="63"/>
      <c r="BJ6" s="63"/>
      <c r="BK6" s="63"/>
      <c r="BL6" s="63"/>
      <c r="BM6" s="63"/>
      <c r="BN6" s="63" t="s">
        <v>208</v>
      </c>
      <c r="BO6" s="63" t="s">
        <v>196</v>
      </c>
      <c r="BP6" s="63"/>
    </row>
    <row r="7" s="77" customFormat="1" spans="1:68">
      <c r="A7" s="90"/>
      <c r="B7" s="91"/>
      <c r="C7" s="91"/>
      <c r="D7" s="92" t="s">
        <v>204</v>
      </c>
      <c r="E7" s="91"/>
      <c r="F7" s="91"/>
      <c r="G7" s="91"/>
      <c r="H7" s="93"/>
      <c r="I7" s="108">
        <f>SUM(I8:I666666)</f>
        <v>0</v>
      </c>
      <c r="J7" s="109">
        <f>SUM(J8:J666666)</f>
        <v>0</v>
      </c>
      <c r="K7" s="110"/>
      <c r="L7" s="110"/>
      <c r="M7" s="110"/>
      <c r="N7" s="109">
        <f>SUM(N8:N666666)</f>
        <v>0</v>
      </c>
      <c r="O7" s="111"/>
      <c r="P7" s="112"/>
      <c r="Q7" s="112"/>
      <c r="R7" s="112"/>
      <c r="S7" s="112"/>
      <c r="T7" s="112"/>
      <c r="U7" s="109">
        <f>IF(P7="",,VLOOKUP(P7,设置!$M$2:$O$6666,2,TRUE))</f>
        <v>0</v>
      </c>
      <c r="V7" s="110"/>
      <c r="W7" s="110"/>
      <c r="X7" s="110"/>
      <c r="Y7" s="110"/>
      <c r="Z7" s="110"/>
      <c r="AA7" s="109">
        <f t="shared" ref="AA7:BP7" si="0">SUM(AA8:AA666666)</f>
        <v>0</v>
      </c>
      <c r="AB7" s="109">
        <f t="shared" si="0"/>
        <v>0</v>
      </c>
      <c r="AC7" s="109">
        <f t="shared" si="0"/>
        <v>0</v>
      </c>
      <c r="AD7" s="109">
        <f t="shared" si="0"/>
        <v>0</v>
      </c>
      <c r="AE7" s="109">
        <f t="shared" si="0"/>
        <v>0</v>
      </c>
      <c r="AF7" s="109">
        <f t="shared" si="0"/>
        <v>0</v>
      </c>
      <c r="AG7" s="109">
        <f t="shared" si="0"/>
        <v>0</v>
      </c>
      <c r="AH7" s="109">
        <f t="shared" si="0"/>
        <v>0</v>
      </c>
      <c r="AI7" s="109">
        <f t="shared" si="0"/>
        <v>0</v>
      </c>
      <c r="AJ7" s="109">
        <f t="shared" si="0"/>
        <v>0</v>
      </c>
      <c r="AK7" s="109">
        <f t="shared" si="0"/>
        <v>0</v>
      </c>
      <c r="AL7" s="109">
        <f t="shared" si="0"/>
        <v>0</v>
      </c>
      <c r="AM7" s="109">
        <f t="shared" si="0"/>
        <v>0</v>
      </c>
      <c r="AN7" s="109">
        <f t="shared" si="0"/>
        <v>0</v>
      </c>
      <c r="AO7" s="109">
        <f t="shared" si="0"/>
        <v>0</v>
      </c>
      <c r="AP7" s="109">
        <f t="shared" si="0"/>
        <v>0</v>
      </c>
      <c r="AQ7" s="109">
        <f t="shared" si="0"/>
        <v>0</v>
      </c>
      <c r="AR7" s="109">
        <f t="shared" si="0"/>
        <v>0</v>
      </c>
      <c r="AS7" s="109">
        <f t="shared" si="0"/>
        <v>0</v>
      </c>
      <c r="AT7" s="109">
        <f t="shared" si="0"/>
        <v>0</v>
      </c>
      <c r="AU7" s="109">
        <f t="shared" si="0"/>
        <v>0</v>
      </c>
      <c r="AV7" s="109">
        <f t="shared" si="0"/>
        <v>0</v>
      </c>
      <c r="AW7" s="109">
        <f t="shared" si="0"/>
        <v>0</v>
      </c>
      <c r="AX7" s="109">
        <f t="shared" si="0"/>
        <v>0</v>
      </c>
      <c r="AY7" s="109">
        <f t="shared" si="0"/>
        <v>0</v>
      </c>
      <c r="AZ7" s="109">
        <f t="shared" si="0"/>
        <v>0</v>
      </c>
      <c r="BA7" s="109">
        <f t="shared" si="0"/>
        <v>0</v>
      </c>
      <c r="BB7" s="109">
        <f t="shared" si="0"/>
        <v>0</v>
      </c>
      <c r="BC7" s="109">
        <f t="shared" si="0"/>
        <v>0</v>
      </c>
      <c r="BD7" s="109">
        <f t="shared" si="0"/>
        <v>0</v>
      </c>
      <c r="BE7" s="109">
        <f t="shared" si="0"/>
        <v>0</v>
      </c>
      <c r="BF7" s="109">
        <f t="shared" si="0"/>
        <v>0</v>
      </c>
      <c r="BG7" s="109">
        <f t="shared" si="0"/>
        <v>0</v>
      </c>
      <c r="BH7" s="109">
        <f t="shared" si="0"/>
        <v>0</v>
      </c>
      <c r="BI7" s="109">
        <f t="shared" si="0"/>
        <v>0</v>
      </c>
      <c r="BJ7" s="109">
        <f t="shared" si="0"/>
        <v>0</v>
      </c>
      <c r="BK7" s="109">
        <f t="shared" si="0"/>
        <v>0</v>
      </c>
      <c r="BL7" s="109">
        <f t="shared" si="0"/>
        <v>0</v>
      </c>
      <c r="BM7" s="109">
        <f t="shared" si="0"/>
        <v>0</v>
      </c>
      <c r="BN7" s="109">
        <f t="shared" si="0"/>
        <v>0</v>
      </c>
      <c r="BO7" s="109">
        <f t="shared" si="0"/>
        <v>0</v>
      </c>
      <c r="BP7" s="109">
        <f t="shared" si="0"/>
        <v>0</v>
      </c>
    </row>
    <row r="8" spans="1:68">
      <c r="A8" s="94"/>
      <c r="B8" s="95"/>
      <c r="C8" s="95"/>
      <c r="D8" s="96"/>
      <c r="E8" s="95"/>
      <c r="F8" s="95"/>
      <c r="G8" s="97" t="str">
        <f>IF(OR(设置!$B$22="",设置!$B$22="***市县"),"",IF(SUMPRODUCT((设置!$A$31:$A$38=设置!$B$22)*(1))+SUMPRODUCT((设置!$B$30:$B$38=设置!$B$22)*(1))+SUMPRODUCT((设置!$C$30:$C$38=设置!$B$22)*(1))+SUMPRODUCT((设置!$D$30:$D$38=设置!$B$22)*(1))+SUMPRODUCT((设置!$E$30:$E$38=设置!$B$22)*(1))=1,"是","否"))</f>
        <v/>
      </c>
      <c r="H8" s="97" t="str">
        <f>IF(OR(设置!$B$22="",设置!$B$22="***市县"),"",IF(SUMPRODUCT((设置!$F$31:$F$38=设置!$B$22)*(1))+SUMPRODUCT((设置!$H$30:$H$38=设置!$B$22)*(1))+SUMPRODUCT((设置!$I$30:$I$38=设置!$B$22)*(1))+SUMPRODUCT((设置!$J$30:$J$38=设置!$B$22)*(1))+SUMPRODUCT((设置!$K$30:$K$31=设置!$B$22)*(1))=1,"比照西部地区","中部地区"))</f>
        <v/>
      </c>
      <c r="I8" s="113"/>
      <c r="J8" s="113"/>
      <c r="K8" s="114" t="str">
        <f>IF(P8&gt;=设置!$J$41,IF(I8&lt;100,IF(J8&gt;=I8*10/100,"","错误"),IF(J8&gt;=I8*5/100,"","错误")),IF(AND(P8&lt;设置!$J$41,P8&gt;=设置!$D$41),IF(I8&lt;100,IF(J8&gt;=I8*15/100,"","错误"),IF(J8&gt;=I8*8/100,"","错误")),IF(P8&lt;设置!$D$41,IF(I8&lt;100,IF(J8&gt;=I8*20/100,"","错误"),IF(J8&gt;=I8*10/100,"","错误")),)))</f>
        <v/>
      </c>
      <c r="L8" s="98"/>
      <c r="M8" s="98"/>
      <c r="N8" s="113"/>
      <c r="O8" s="114" t="str">
        <f>IF(P8&lt;设置!$F$41,IF(N8&gt;300,"超额",""),IF(P8&gt;=设置!$F$41,IF(N8&gt;500,"超额","")))</f>
        <v/>
      </c>
      <c r="P8" s="115"/>
      <c r="Q8" s="124">
        <f>P8</f>
        <v>0</v>
      </c>
      <c r="R8" s="115"/>
      <c r="S8" s="125" t="str">
        <f>IF(OR(IF(Q8&gt;=DATE(YEAR(设置!$D$23)-3,MONTH(设置!$D$23),DAY(设置!$D$23)),"","错误")="错误",IF(R8&gt;DATE(YEAR(Q8)+3,MONTH(Q8),DAY(Q8)),"错误","")="错误"),"错误","")</f>
        <v>错误</v>
      </c>
      <c r="T8" s="126"/>
      <c r="U8" s="127">
        <f>IF(P8="",,VLOOKUP(P8,设置!$M$2:$O$6666,2,TRUE))</f>
        <v>0</v>
      </c>
      <c r="V8" s="128" t="e">
        <f>IF(P8&lt;设置!$J$23,IF(OR(U8=VLOOKUP(P8,设置!$M$2:$O$6666,2,TRUE),U8=VLOOKUP(P8,设置!$M$2:$O$6666,3,TRUE)),"","检查"),IF(U8=VLOOKUP(P8,设置!$M$2:$O$6666,2,TRUE),"","检查"))</f>
        <v>#N/A</v>
      </c>
      <c r="W8" s="113"/>
      <c r="X8" s="114" t="str">
        <f>IF(P8&lt;设置!$D$41,IF(AND(G8="是",W8&lt;=3),"",IF(AND(G8="否",W8&lt;=2),"","错误")),IF(AND(G8="是",W8&lt;=2.5),"",IF(AND(G8="否",W8&lt;=1.5),"","错误")))</f>
        <v>错误</v>
      </c>
      <c r="Y8" s="133">
        <f>IF(X8="",U8+W8,)</f>
        <v>0</v>
      </c>
      <c r="Z8" s="133">
        <f>IF(X8="",IF(P8&gt;=设置!$J$41,Y8*50%,IF(AND(P8&lt;设置!$J$41,P8&gt;=设置!$E$41),W8+1.5,IF(P8&lt;设置!$E$41,Y8,))),)</f>
        <v>0</v>
      </c>
      <c r="AA8" s="133">
        <f>IF(OR(K8="X",O8="超额"),,IF(OR(I8="",J8=""),,IF(P8&lt;设置!$J$41,IF(N8&lt;=300,N8,300),IF(N8&lt;=400,N8,400))))</f>
        <v>0</v>
      </c>
      <c r="AB8" s="133">
        <f>IF(OR(K8="X",O8="超额"),,IF(OR(I8="",J8=""),,N8-AA8))</f>
        <v>0</v>
      </c>
      <c r="AC8" s="128">
        <f>MAX(ROUND(N8*Y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D8" s="128">
        <f>MAX(ROUND(AA8*Z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E8" s="128">
        <f>ROUND(IF(P8&gt;=设置!$J$41,AD8*70%,IF(H8="中部地区",AD8*50%,AD8*70%)),6)</f>
        <v>0</v>
      </c>
      <c r="AF8" s="128">
        <f>ROUND(IF(P8&gt;=设置!$J$41,0,IF(H8="中部地区",AD8*25%,AD8*15%)),6)</f>
        <v>0</v>
      </c>
      <c r="AG8" s="128">
        <f>AD8-AE8-AF8</f>
        <v>0</v>
      </c>
      <c r="AH8" s="128">
        <f>ROUND(IF($P8&gt;=设置!$H$41,AJ8/2,),6)</f>
        <v>0</v>
      </c>
      <c r="AI8" s="128">
        <f>ROUND(IF($P8&gt;=设置!$H$41,AJ8-AH8,),6)</f>
        <v>0</v>
      </c>
      <c r="AJ8" s="128">
        <f>MAX(ROUND(AB8*Z8/100*(IF(Q8&gt;=P8,IF(T8&gt;0,IF(T8&lt;=设置!$E$28,T8-IF(Q8&lt;=设置!$E$27,设置!$E$27,Q8),IF(设置!$E$28-IF(Q8&lt;=设置!$E$27,设置!$E$27,Q8)+1&gt;0,设置!$E$28-IF(Q8&lt;=设置!$E$27,设置!$E$27,Q8)+1,)),IF(R8&lt;=设置!$E$28,R8-IF(Q8&lt;=设置!$E$27,设置!$E$27,Q8),IF(设置!$E$28-IF(Q8&lt;=设置!$E$27,设置!$E$27,Q8)+1&gt;0,设置!$E$28-IF(Q8&lt;=设置!$E$27,设置!$E$27,Q8)+1,))),))/360,6),)</f>
        <v>0</v>
      </c>
      <c r="AK8" s="136"/>
      <c r="AL8" s="128">
        <f>AC8-AD8-AH8-AI8-AK8</f>
        <v>0</v>
      </c>
      <c r="AM8" s="128">
        <f>MAX(ROUND(N8*Y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N8" s="128">
        <f>MAX(ROUND(AA8*Z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O8" s="128">
        <f>IF(P8&gt;=设置!$J$41,ROUND(AN8*70%,6),IF(H8="中部地区",ROUND(AN8*50%,6),ROUND(AN8*70%,6)))</f>
        <v>0</v>
      </c>
      <c r="AP8" s="128">
        <f>IF(P8&gt;=设置!$J$41,0,IF(H8="中部地区",ROUND(AN8*25%,6),ROUND(AN8*15%,6)))</f>
        <v>0</v>
      </c>
      <c r="AQ8" s="128">
        <f>AN8-AO8-AP8</f>
        <v>0</v>
      </c>
      <c r="AR8" s="128">
        <f>ROUND(IF($P8&gt;=设置!$H$41,AT8/2,),6)</f>
        <v>0</v>
      </c>
      <c r="AS8" s="128">
        <f>ROUND(IF($P8&gt;=设置!$H$41,AT8-AR8,),6)</f>
        <v>0</v>
      </c>
      <c r="AT8" s="128">
        <f>MAX(ROUND(AB8*Z8/100*(IF(Q8&gt;=P8,IF(T8&gt;0,IF(T8&lt;=设置!$F$28,T8-IF(Q8&lt;=设置!$F$27,设置!$F$27,Q8),IF(设置!$F$28-IF(Q8&lt;=设置!$F$27,设置!$F$27,Q8)+1&gt;0,设置!$F$28-IF(Q8&lt;=设置!$F$27,设置!$F$27,Q8)+1,)),IF(R8&lt;=设置!$F$28,R8-IF(Q8&lt;=设置!$F$27,设置!$F$27,Q8),IF(设置!$F$28-IF(Q8&lt;=设置!$F$27,设置!$F$27,Q8)+1&gt;0,设置!$F$28-IF(Q8&lt;=设置!$F$27,设置!$F$27,Q8)+1,))),))/360,6),)</f>
        <v>0</v>
      </c>
      <c r="AU8" s="136"/>
      <c r="AV8" s="128">
        <f>AM8-AN8-AR8-AS8-AU8</f>
        <v>0</v>
      </c>
      <c r="AW8" s="128">
        <f>MAX(ROUND(N8*Y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AX8" s="128">
        <f>MAX(ROUND(AA8*Z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AY8" s="128">
        <f>IF(P8&gt;=设置!$J$41,ROUND(AX8*70%,6),IF(H8="中部地区",ROUND(AX8*50%,6),ROUND(AX8*70%,6)))</f>
        <v>0</v>
      </c>
      <c r="AZ8" s="128">
        <f>IF(P8&gt;=设置!$J$41,0,IF(H8="中部地区",ROUND(AX8*25%,6),ROUND(AX8*15%,6)))</f>
        <v>0</v>
      </c>
      <c r="BA8" s="128">
        <f>AX8-AY8-AZ8</f>
        <v>0</v>
      </c>
      <c r="BB8" s="128">
        <f>ROUND(IF($P8&gt;=设置!$H$41,BD8/2,),6)</f>
        <v>0</v>
      </c>
      <c r="BC8" s="128">
        <f>ROUND(IF($P8&gt;=设置!$H$41,BD8-BB8,),6)</f>
        <v>0</v>
      </c>
      <c r="BD8" s="128">
        <f>MAX(ROUND(AB8*Z8/100*(IF(Q8&gt;=P8,IF(T8&gt;0,IF(T8&lt;=设置!$H$28,T8-IF(Q8&lt;=设置!$H$27,设置!$H$27,Q8),IF(设置!$H$28-IF(Q8&lt;=设置!$H$27,设置!$H$27,Q8)+1&gt;0,设置!$H$28-IF(Q8&lt;=设置!$H$27,设置!$H$27,Q8)+1,)),IF(R8&lt;=设置!$H$28,R8-IF(Q8&lt;=设置!$H$27,设置!$H$27,Q8),IF(设置!$H$28-IF(Q8&lt;=设置!$H$27,设置!$H$27,Q8)+1&gt;0,设置!$H$28-IF(Q8&lt;=设置!$H$27,设置!$H$27,Q8)+1,))),))/360,6),)</f>
        <v>0</v>
      </c>
      <c r="BE8" s="136"/>
      <c r="BF8" s="128">
        <f>AW8-AX8-BB8-BC8-BE8</f>
        <v>0</v>
      </c>
      <c r="BG8" s="128">
        <f>MAX(ROUND(N8*Y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H8" s="128">
        <f>MAX(ROUND(AA8*Z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I8" s="128">
        <f>IF(P8&gt;=设置!$J$41,ROUND(BH8*70%,6),IF(H8="中部地区",ROUND(BH8*50%,6),ROUND(BH8*70%,6)))</f>
        <v>0</v>
      </c>
      <c r="BJ8" s="128">
        <f>IF(P8&gt;=设置!$J$41,0,IF(H8="中部地区",ROUND(BH8*25%,6),ROUND(BH8*15%,6)))</f>
        <v>0</v>
      </c>
      <c r="BK8" s="128">
        <f>BH8-BI8-BJ8</f>
        <v>0</v>
      </c>
      <c r="BL8" s="128">
        <f>ROUND(IF($P8&gt;=设置!$H$41,BN8/2,),6)</f>
        <v>0</v>
      </c>
      <c r="BM8" s="128">
        <f>ROUND(IF($P8&gt;=设置!$H$41,BN8-BL8,),6)</f>
        <v>0</v>
      </c>
      <c r="BN8" s="128">
        <f>MAX(ROUND(AB8*Z8/100*(IF(Q8&gt;=P8,IF(T8&gt;0,IF(T8&lt;=设置!$J$28,T8-IF(Q8&lt;=设置!$J$27,设置!$J$27,Q8),IF(设置!$J$28-IF(Q8&lt;=设置!$J$27,设置!$J$27,Q8)+1&gt;0,设置!$J$28-IF(Q8&lt;=设置!$J$27,设置!$J$27,Q8)+1,)),IF(R8&lt;=设置!$J$28,R8-IF(Q8&lt;=设置!$J$27,设置!$J$27,Q8),IF(设置!$J$28-IF(Q8&lt;=设置!$J$27,设置!$J$27,Q8)+1&gt;0,设置!$J$28-IF(Q8&lt;=设置!$J$27,设置!$J$27,Q8)+1,))),))/360,6),)</f>
        <v>0</v>
      </c>
      <c r="BO8" s="136"/>
      <c r="BP8" s="128">
        <f>BG8-BH8-BL8-BM8-BO8</f>
        <v>0</v>
      </c>
    </row>
    <row r="9" spans="1:68">
      <c r="A9" s="98">
        <v>100001</v>
      </c>
      <c r="B9" s="98" t="s">
        <v>225</v>
      </c>
      <c r="C9" s="98" t="s">
        <v>226</v>
      </c>
      <c r="D9" s="237" t="s">
        <v>227</v>
      </c>
      <c r="E9" s="98" t="s">
        <v>211</v>
      </c>
      <c r="F9" s="98" t="s">
        <v>212</v>
      </c>
      <c r="G9" s="100" t="str">
        <f>IF(OR(设置!$B$22="",设置!$B$22="***市县"),"",IF(SUMPRODUCT((设置!$A$31:$A$38=设置!$B$22)*(1))+SUMPRODUCT((设置!$B$30:$B$38=设置!$B$22)*(1))+SUMPRODUCT((设置!$C$30:$C$38=设置!$B$22)*(1))+SUMPRODUCT((设置!$D$30:$D$38=设置!$B$22)*(1))+SUMPRODUCT((设置!$E$30:$E$38=设置!$B$22)*(1))=1,"是","否"))</f>
        <v/>
      </c>
      <c r="H9" s="100" t="str">
        <f>IF(OR(设置!$B$22="",设置!$B$22="***市县"),"",IF(SUMPRODUCT((设置!$F$31:$F$38=设置!$B$22)*(1))+SUMPRODUCT((设置!$H$30:$H$38=设置!$B$22)*(1))+SUMPRODUCT((设置!$I$30:$I$38=设置!$B$22)*(1))+SUMPRODUCT((设置!$J$30:$J$38=设置!$B$22)*(1))+SUMPRODUCT((设置!$K$30:$K$31=设置!$B$22)*(1))=1,"比照西部地区","中部地区"))</f>
        <v/>
      </c>
      <c r="I9" s="113"/>
      <c r="J9" s="113"/>
      <c r="K9" s="100" t="str">
        <f>IF(P9&gt;=设置!$J$41,IF(I9&lt;100,IF(J9&gt;=I9*10/100,"","错误"),IF(J9&gt;=I9*5/100,"","错误")),IF(AND(P9&lt;设置!$J$41,P9&gt;=设置!$D$41),IF(I9&lt;100,IF(J9&gt;=I9*15/100,"","错误"),IF(J9&gt;=I9*8/100,"","错误")),IF(P9&lt;设置!$D$41,IF(I9&lt;100,IF(J9&gt;=I9*20/100,"","错误"),IF(J9&gt;=I9*10/100,"","错误")),)))</f>
        <v/>
      </c>
      <c r="L9" s="116"/>
      <c r="M9" s="116"/>
      <c r="N9" s="113"/>
      <c r="O9" s="100" t="str">
        <f>IF(P9&lt;设置!$F$41,IF(N9&gt;300,"超额",""),IF(P9&gt;=设置!$F$41,IF(N9&gt;500,"超额","")))</f>
        <v/>
      </c>
      <c r="P9" s="115"/>
      <c r="Q9" s="124">
        <f>P9</f>
        <v>0</v>
      </c>
      <c r="R9" s="115"/>
      <c r="S9" s="129" t="str">
        <f>IF(OR(IF(Q9&gt;=DATE(YEAR(设置!$D$23)-3,MONTH(设置!$D$23),DAY(设置!$D$23)),"","错误")="错误",IF(R9&gt;DATE(YEAR(Q9)+3,MONTH(Q9),DAY(Q9)),"错误","")="错误"),"错误","")</f>
        <v>错误</v>
      </c>
      <c r="T9" s="126"/>
      <c r="U9" s="127">
        <f>IF(P9="",,VLOOKUP(P9,设置!$M$2:$O$6666,2,TRUE))</f>
        <v>0</v>
      </c>
      <c r="V9" s="130" t="e">
        <f>IF(P9&lt;设置!$J$23,IF(OR(U9=VLOOKUP(P9,设置!$M$2:$O$6666,2,TRUE),U9=VLOOKUP(P9,设置!$M$2:$O$6666,3,TRUE)),"","检查"),IF(U9=VLOOKUP(P9,设置!$M$2:$O$6666,2,TRUE),"","检查"))</f>
        <v>#N/A</v>
      </c>
      <c r="W9" s="113"/>
      <c r="X9" s="100" t="str">
        <f>IF(P9&lt;设置!$D$41,IF(AND(G9="是",W9&lt;=3),"",IF(AND(G9="否",W9&lt;=2),"","错误")),IF(AND(G9="是",W9&lt;=2.5),"",IF(AND(G9="否",W9&lt;=1.5),"","错误")))</f>
        <v>错误</v>
      </c>
      <c r="Y9" s="134">
        <f>IF(X9="",U9+W9,)</f>
        <v>0</v>
      </c>
      <c r="Z9" s="134">
        <f>IF(X9="",IF(P9&gt;=设置!$J$41,Y9*50%,IF(AND(P9&lt;设置!$J$41,P9&gt;=设置!$E$41),W9+1.5,IF(P9&lt;设置!$E$41,Y9,))),)</f>
        <v>0</v>
      </c>
      <c r="AA9" s="134">
        <f>IF(OR(K9="X",O9="超额"),,IF(OR(I9="",J9=""),,IF(P9&lt;设置!$J$41,IF(N9&lt;=300,N9,300),IF(N9&lt;=400,N9,400))))</f>
        <v>0</v>
      </c>
      <c r="AB9" s="134">
        <f>IF(OR(K9="X",O9="超额"),,IF(OR(I9="",J9=""),,N9-AA9))</f>
        <v>0</v>
      </c>
      <c r="AC9" s="130">
        <f>MAX(ROUND(N9*Y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D9" s="130">
        <f>MAX(ROUND(AA9*Z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E9" s="130">
        <f>ROUND(IF(P9&gt;=设置!$J$41,AD9*70%,IF(H9="中部地区",AD9*50%,AD9*70%)),6)</f>
        <v>0</v>
      </c>
      <c r="AF9" s="130">
        <f>ROUND(IF(P9&gt;=设置!$J$41,0,IF(H9="中部地区",AD9*25%,AD9*15%)),6)</f>
        <v>0</v>
      </c>
      <c r="AG9" s="130">
        <f>AD9-AE9-AF9</f>
        <v>0</v>
      </c>
      <c r="AH9" s="130">
        <f>ROUND(IF($P9&gt;=设置!$H$41,AJ9/2,),6)</f>
        <v>0</v>
      </c>
      <c r="AI9" s="130">
        <f>ROUND(IF($P9&gt;=设置!$H$41,AJ9-AH9,),6)</f>
        <v>0</v>
      </c>
      <c r="AJ9" s="130">
        <f>MAX(ROUND(AB9*Z9/100*(IF(Q9&gt;=P9,IF(T9&gt;0,IF(T9&lt;=设置!$E$28,T9-IF(Q9&lt;=设置!$E$27,设置!$E$27,Q9),IF(设置!$E$28-IF(Q9&lt;=设置!$E$27,设置!$E$27,Q9)+1&gt;0,设置!$E$28-IF(Q9&lt;=设置!$E$27,设置!$E$27,Q9)+1,)),IF(R9&lt;=设置!$E$28,R9-IF(Q9&lt;=设置!$E$27,设置!$E$27,Q9),IF(设置!$E$28-IF(Q9&lt;=设置!$E$27,设置!$E$27,Q9)+1&gt;0,设置!$E$28-IF(Q9&lt;=设置!$E$27,设置!$E$27,Q9)+1,))),))/360,6),)</f>
        <v>0</v>
      </c>
      <c r="AK9" s="137"/>
      <c r="AL9" s="130">
        <f>AC9-AD9-AH9-AI9-AK9</f>
        <v>0</v>
      </c>
      <c r="AM9" s="130">
        <f>MAX(ROUND(N9*Y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N9" s="130">
        <f>MAX(ROUND(AA9*Z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O9" s="130">
        <f>IF(P9&gt;=设置!$J$41,ROUND(AN9*70%,6),IF(H9="中部地区",ROUND(AN9*50%,6),ROUND(AN9*70%,6)))</f>
        <v>0</v>
      </c>
      <c r="AP9" s="130">
        <f>IF(P9&gt;=设置!$J$41,0,IF(H9="中部地区",ROUND(AN9*25%,6),ROUND(AN9*15%,6)))</f>
        <v>0</v>
      </c>
      <c r="AQ9" s="130">
        <f>AN9-AO9-AP9</f>
        <v>0</v>
      </c>
      <c r="AR9" s="130">
        <f>ROUND(IF($P9&gt;=设置!$H$41,AT9/2,),6)</f>
        <v>0</v>
      </c>
      <c r="AS9" s="130">
        <f>ROUND(IF($P9&gt;=设置!$H$41,AT9-AR9,),6)</f>
        <v>0</v>
      </c>
      <c r="AT9" s="130">
        <f>MAX(ROUND(AB9*Z9/100*(IF(Q9&gt;=P9,IF(T9&gt;0,IF(T9&lt;=设置!$F$28,T9-IF(Q9&lt;=设置!$F$27,设置!$F$27,Q9),IF(设置!$F$28-IF(Q9&lt;=设置!$F$27,设置!$F$27,Q9)+1&gt;0,设置!$F$28-IF(Q9&lt;=设置!$F$27,设置!$F$27,Q9)+1,)),IF(R9&lt;=设置!$F$28,R9-IF(Q9&lt;=设置!$F$27,设置!$F$27,Q9),IF(设置!$F$28-IF(Q9&lt;=设置!$F$27,设置!$F$27,Q9)+1&gt;0,设置!$F$28-IF(Q9&lt;=设置!$F$27,设置!$F$27,Q9)+1,))),))/360,6),)</f>
        <v>0</v>
      </c>
      <c r="AU9" s="137"/>
      <c r="AV9" s="130">
        <f>AM9-AN9-AR9-AS9-AU9</f>
        <v>0</v>
      </c>
      <c r="AW9" s="130">
        <f>MAX(ROUND(N9*Y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AX9" s="130">
        <f>MAX(ROUND(AA9*Z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AY9" s="130">
        <f>IF(P9&gt;=设置!$J$41,ROUND(AX9*70%,6),IF(H9="中部地区",ROUND(AX9*50%,6),ROUND(AX9*70%,6)))</f>
        <v>0</v>
      </c>
      <c r="AZ9" s="130">
        <f>IF(P9&gt;=设置!$J$41,0,IF(H9="中部地区",ROUND(AX9*25%,6),ROUND(AX9*15%,6)))</f>
        <v>0</v>
      </c>
      <c r="BA9" s="130">
        <f>AX9-AY9-AZ9</f>
        <v>0</v>
      </c>
      <c r="BB9" s="130">
        <f>ROUND(IF($P9&gt;=设置!$H$41,BD9/2,),6)</f>
        <v>0</v>
      </c>
      <c r="BC9" s="130">
        <f>ROUND(IF($P9&gt;=设置!$H$41,BD9-BB9,),6)</f>
        <v>0</v>
      </c>
      <c r="BD9" s="130">
        <f>MAX(ROUND(AB9*Z9/100*(IF(Q9&gt;=P9,IF(T9&gt;0,IF(T9&lt;=设置!$H$28,T9-IF(Q9&lt;=设置!$H$27,设置!$H$27,Q9),IF(设置!$H$28-IF(Q9&lt;=设置!$H$27,设置!$H$27,Q9)+1&gt;0,设置!$H$28-IF(Q9&lt;=设置!$H$27,设置!$H$27,Q9)+1,)),IF(R9&lt;=设置!$H$28,R9-IF(Q9&lt;=设置!$H$27,设置!$H$27,Q9),IF(设置!$H$28-IF(Q9&lt;=设置!$H$27,设置!$H$27,Q9)+1&gt;0,设置!$H$28-IF(Q9&lt;=设置!$H$27,设置!$H$27,Q9)+1,))),))/360,6),)</f>
        <v>0</v>
      </c>
      <c r="BE9" s="137"/>
      <c r="BF9" s="130">
        <f>AW9-AX9-BB9-BC9-BE9</f>
        <v>0</v>
      </c>
      <c r="BG9" s="130">
        <f>MAX(ROUND(N9*Y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H9" s="130">
        <f>MAX(ROUND(AA9*Z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I9" s="130">
        <f>IF(P9&gt;=设置!$J$41,ROUND(BH9*70%,6),IF(H9="中部地区",ROUND(BH9*50%,6),ROUND(BH9*70%,6)))</f>
        <v>0</v>
      </c>
      <c r="BJ9" s="130">
        <f>IF(P9&gt;=设置!$J$41,0,IF(H9="中部地区",ROUND(BH9*25%,6),ROUND(BH9*15%,6)))</f>
        <v>0</v>
      </c>
      <c r="BK9" s="130">
        <f>BH9-BI9-BJ9</f>
        <v>0</v>
      </c>
      <c r="BL9" s="130">
        <f>ROUND(IF($P9&gt;=设置!$H$41,BN9/2,),6)</f>
        <v>0</v>
      </c>
      <c r="BM9" s="130">
        <f>ROUND(IF($P9&gt;=设置!$H$41,BN9-BL9,),6)</f>
        <v>0</v>
      </c>
      <c r="BN9" s="130">
        <f>MAX(ROUND(AB9*Z9/100*(IF(Q9&gt;=P9,IF(T9&gt;0,IF(T9&lt;=设置!$J$28,T9-IF(Q9&lt;=设置!$J$27,设置!$J$27,Q9),IF(设置!$J$28-IF(Q9&lt;=设置!$J$27,设置!$J$27,Q9)+1&gt;0,设置!$J$28-IF(Q9&lt;=设置!$J$27,设置!$J$27,Q9)+1,)),IF(R9&lt;=设置!$J$28,R9-IF(Q9&lt;=设置!$J$27,设置!$J$27,Q9),IF(设置!$J$28-IF(Q9&lt;=设置!$J$27,设置!$J$27,Q9)+1&gt;0,设置!$J$28-IF(Q9&lt;=设置!$J$27,设置!$J$27,Q9)+1,))),))/360,6),)</f>
        <v>0</v>
      </c>
      <c r="BO9" s="137"/>
      <c r="BP9" s="130">
        <f>BG9-BH9-BL9-BM9-BO9</f>
        <v>0</v>
      </c>
    </row>
    <row r="10" spans="1:68">
      <c r="A10" s="101"/>
      <c r="B10" s="101"/>
      <c r="C10" s="101"/>
      <c r="D10" s="102"/>
      <c r="E10" s="101"/>
      <c r="F10" s="101"/>
      <c r="G10" s="101"/>
      <c r="H10" s="101"/>
      <c r="I10" s="117"/>
      <c r="J10" s="117"/>
      <c r="K10" s="118"/>
      <c r="L10" s="119"/>
      <c r="M10" s="119"/>
      <c r="N10" s="117"/>
      <c r="O10" s="101"/>
      <c r="P10" s="120"/>
      <c r="Q10" s="120"/>
      <c r="R10" s="120"/>
      <c r="S10" s="120"/>
      <c r="T10" s="120"/>
      <c r="U10" s="117"/>
      <c r="V10" s="117"/>
      <c r="W10" s="117"/>
      <c r="X10" s="101"/>
      <c r="Y10" s="135"/>
      <c r="Z10" s="135"/>
      <c r="AA10" s="135"/>
      <c r="AB10" s="135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</row>
    <row r="11" spans="1:68">
      <c r="A11" s="101"/>
      <c r="B11" s="101"/>
      <c r="C11" s="101"/>
      <c r="D11" s="102"/>
      <c r="E11" s="101"/>
      <c r="F11" s="101"/>
      <c r="G11" s="101"/>
      <c r="H11" s="101"/>
      <c r="I11" s="117"/>
      <c r="J11" s="117"/>
      <c r="K11" s="118"/>
      <c r="L11" s="119"/>
      <c r="M11" s="119"/>
      <c r="N11" s="117"/>
      <c r="O11" s="101"/>
      <c r="P11" s="120"/>
      <c r="Q11" s="120"/>
      <c r="R11" s="120"/>
      <c r="S11" s="120"/>
      <c r="T11" s="120"/>
      <c r="U11" s="117"/>
      <c r="V11" s="117"/>
      <c r="W11" s="117"/>
      <c r="X11" s="101"/>
      <c r="Y11" s="135"/>
      <c r="Z11" s="135"/>
      <c r="AA11" s="135"/>
      <c r="AB11" s="135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</row>
    <row r="12" spans="1:1">
      <c r="A12" s="81" t="s">
        <v>214</v>
      </c>
    </row>
  </sheetData>
  <sheetProtection password="CB92" sheet="1" formatCells="0" formatRows="0" sort="0" autoFilter="0" pivotTables="0" objects="1"/>
  <autoFilter ref="A2:BP12">
    <extLst/>
  </autoFilter>
  <mergeCells count="82">
    <mergeCell ref="U3:Z3"/>
    <mergeCell ref="AA3:AB3"/>
    <mergeCell ref="AC3:AL3"/>
    <mergeCell ref="AM3:AV3"/>
    <mergeCell ref="AW3:BF3"/>
    <mergeCell ref="BG3:BP3"/>
    <mergeCell ref="W4:X4"/>
    <mergeCell ref="AD4:AG4"/>
    <mergeCell ref="AH4:AK4"/>
    <mergeCell ref="AN4:AQ4"/>
    <mergeCell ref="AR4:AU4"/>
    <mergeCell ref="AX4:BA4"/>
    <mergeCell ref="BB4:BE4"/>
    <mergeCell ref="BH4:BK4"/>
    <mergeCell ref="BL4:BO4"/>
    <mergeCell ref="AJ5:AK5"/>
    <mergeCell ref="AT5:AU5"/>
    <mergeCell ref="BD5:BE5"/>
    <mergeCell ref="BN5:BO5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5:J6"/>
    <mergeCell ref="K5:K6"/>
    <mergeCell ref="L3:L6"/>
    <mergeCell ref="M3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5:W6"/>
    <mergeCell ref="X5:X6"/>
    <mergeCell ref="Y4:Y6"/>
    <mergeCell ref="Z4:Z6"/>
    <mergeCell ref="AA4:AA6"/>
    <mergeCell ref="AB4:AB6"/>
    <mergeCell ref="AC4:AC6"/>
    <mergeCell ref="AD5:AD6"/>
    <mergeCell ref="AE5:AE6"/>
    <mergeCell ref="AF5:AF6"/>
    <mergeCell ref="AG5:AG6"/>
    <mergeCell ref="AH5:AH6"/>
    <mergeCell ref="AI5:AI6"/>
    <mergeCell ref="AL4:AL6"/>
    <mergeCell ref="AM4:AM6"/>
    <mergeCell ref="AN5:AN6"/>
    <mergeCell ref="AO5:AO6"/>
    <mergeCell ref="AP5:AP6"/>
    <mergeCell ref="AQ5:AQ6"/>
    <mergeCell ref="AR5:AR6"/>
    <mergeCell ref="AS5:AS6"/>
    <mergeCell ref="AV4:AV6"/>
    <mergeCell ref="AW4:AW6"/>
    <mergeCell ref="AX5:AX6"/>
    <mergeCell ref="AY5:AY6"/>
    <mergeCell ref="AZ5:AZ6"/>
    <mergeCell ref="BA5:BA6"/>
    <mergeCell ref="BB5:BB6"/>
    <mergeCell ref="BC5:BC6"/>
    <mergeCell ref="BF4:BF6"/>
    <mergeCell ref="BG4:BG6"/>
    <mergeCell ref="BH5:BH6"/>
    <mergeCell ref="BI5:BI6"/>
    <mergeCell ref="BJ5:BJ6"/>
    <mergeCell ref="BK5:BK6"/>
    <mergeCell ref="BL5:BL6"/>
    <mergeCell ref="BM5:BM6"/>
    <mergeCell ref="BP4:BP6"/>
    <mergeCell ref="J3:K4"/>
    <mergeCell ref="N3:O4"/>
    <mergeCell ref="P3:T4"/>
  </mergeCells>
  <dataValidations count="19">
    <dataValidation allowBlank="1" showInputMessage="1" showErrorMessage="1" prompt="请填写准确完整的贷款企业名称" sqref="B5 B6 B3:B4"/>
    <dataValidation allowBlank="1" showInputMessage="1" showErrorMessage="1" prompt="请填写正确的日期，格式2023-10-1" sqref="P3:R3 S3 T3"/>
    <dataValidation allowBlank="1" showInputMessage="1" showErrorMessage="1" prompt="提前归还的贷款，请在此列填写还款日期" sqref="T4"/>
    <dataValidation allowBlank="1" showInputMessage="1" showErrorMessage="1" prompt="请下拉选项，选择是或否。贫困地区名单详见“说明”。" sqref="G5 G6 G3:G4"/>
    <dataValidation allowBlank="1" showInputMessage="1" showErrorMessage="1" prompt="请填写经营所在地所属的乡镇街道路号" sqref="F5 F6 F3:F4"/>
    <dataValidation type="textLength" operator="lessThanOrEqual" allowBlank="1" showInputMessage="1" showErrorMessage="1" prompt="请填写正确的社会信用代码，录入代码上限18位。" sqref="D5 D6 D3:D4">
      <formula1>18</formula1>
    </dataValidation>
    <dataValidation allowBlank="1" showInputMessage="1" showErrorMessage="1" prompt="该项为实际贷款额度中不符合中央和省贴息条件的贷款额度" sqref="AB5 AB6 AB3:AB4"/>
    <dataValidation allowBlank="1" showInputMessage="1" showErrorMessage="1" prompt="提前归还的贷款，请填写实际还款日期" sqref="T5"/>
    <dataValidation allowBlank="1" showInputMessage="1" showErrorMessage="1" prompt="请填写县（市、区）级地方名称。如武汉市武昌区，填写武昌区;襄阳市南漳县，填写南漳县。" sqref="E5 E6 E3:E4"/>
    <dataValidation allowBlank="1" showInputMessage="1" showErrorMessage="1" prompt="请下拉选项，选择中部地区或比照西部地区" sqref="H5 H6 H3:H4"/>
    <dataValidation type="list" allowBlank="1" showInputMessage="1" showErrorMessage="1" sqref="G7 G8:G9 G10:G11 G12:G13 G14:G1048576">
      <formula1>"是,否"</formula1>
    </dataValidation>
    <dataValidation allowBlank="1" showInputMessage="1" showErrorMessage="1" prompt="请填写小微企业现有在职职工人数。" sqref="I5 I6 I3:I4"/>
    <dataValidation allowBlank="1" showInputMessage="1" showErrorMessage="1" prompt="请填写贷款用途" sqref="L5 L6 L3:L4"/>
    <dataValidation type="list" allowBlank="1" showInputMessage="1" showErrorMessage="1" sqref="H7 H10 H11 H8:H9 H12:H13 H14:H1048576">
      <formula1>"中部地区,比照西部地区"</formula1>
    </dataValidation>
    <dataValidation allowBlank="1" showInputMessage="1" showErrorMessage="1" prompt="该项为实际贷款额度中符合中央和省贴息条件的贷款额度" sqref="AA5 AA6 AA3:AA4"/>
    <dataValidation type="whole" operator="greaterThanOrEqual" allowBlank="1" showInputMessage="1" showErrorMessage="1" sqref="J7 N7 AA7:AB7 AC7:AF7 AG7:BP7 I9 I7:I8 I10:I13 I14:I1048576">
      <formula1>2</formula1>
    </dataValidation>
    <dataValidation type="date" operator="greaterThanOrEqual" allowBlank="1" showInputMessage="1" showErrorMessage="1" sqref="Q7:R7 S7 Q8 R8 P9 Q9 R9 T9 P7:P8 P10:P13 P14:P1048576 Q10:Q13 R10:R13 S10:S13 S14:S1048576 T7:T8 T10:T13 T14:T1048576 Q14:R1048576">
      <formula1>43831</formula1>
    </dataValidation>
    <dataValidation type="textLength" operator="equal" allowBlank="1" showInputMessage="1" showErrorMessage="1" sqref="D8 D9:D13 D14:D1048576">
      <formula1>18</formula1>
    </dataValidation>
    <dataValidation type="list" allowBlank="1" showInputMessage="1" showErrorMessage="1" sqref="M8 M9 M10:M1048576">
      <formula1>'1季统计'!$A$35:$A$64</formula1>
    </dataValidation>
  </dataValidations>
  <pageMargins left="0.700694444444445" right="0.700694444444445" top="0.751388888888889" bottom="0.751388888888889" header="0.298611111111111" footer="0.298611111111111"/>
  <pageSetup paperSize="8" scale="80" orientation="landscape" horizontalDpi="600"/>
  <headerFooter>
    <oddHeader>&amp;L内部资料，禁止外传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W64"/>
  <sheetViews>
    <sheetView showZeros="0" topLeftCell="A16" workbookViewId="0">
      <pane xSplit="1" topLeftCell="B1" activePane="topRight" state="frozen"/>
      <selection/>
      <selection pane="topRight" activeCell="W25" sqref="W25"/>
    </sheetView>
  </sheetViews>
  <sheetFormatPr defaultColWidth="8.725" defaultRowHeight="13.5"/>
  <cols>
    <col min="1" max="1" width="13.75" style="39" customWidth="1"/>
    <col min="2" max="23" width="8.5" style="39" customWidth="1"/>
    <col min="24" max="16384" width="8.725" style="39"/>
  </cols>
  <sheetData>
    <row r="1" s="39" customFormat="1" ht="18.75" spans="1:1">
      <c r="A1" s="74" t="str">
        <f>设置!B22&amp;(IF(YEAR(设置!D23)&lt;2021/1/1,"0000",YEAR(设置!D23)))&amp;设置!C28&amp;设置!A24&amp;设置!C25</f>
        <v>***市县2025年创业担保贷款财政贴息统计表(一季度)</v>
      </c>
    </row>
    <row r="2" s="40" customFormat="1" ht="14.25" spans="2:23">
      <c r="B2" s="43"/>
      <c r="C2" s="43"/>
      <c r="D2" s="43"/>
      <c r="E2" s="44"/>
      <c r="F2" s="44"/>
      <c r="G2" s="45"/>
      <c r="H2" s="44"/>
      <c r="I2" s="44"/>
      <c r="J2" s="45"/>
      <c r="K2" s="44"/>
      <c r="L2" s="44"/>
      <c r="M2" s="45"/>
      <c r="N2" s="43"/>
      <c r="O2" s="43"/>
      <c r="P2" s="69" t="s">
        <v>228</v>
      </c>
      <c r="Q2" s="43"/>
      <c r="R2" s="43"/>
      <c r="S2" s="43"/>
      <c r="T2" s="44"/>
      <c r="U2" s="44"/>
      <c r="V2" s="45"/>
      <c r="W2" s="44"/>
    </row>
    <row r="3" s="41" customFormat="1" ht="12" spans="1:16">
      <c r="A3" s="46" t="s">
        <v>229</v>
      </c>
      <c r="B3" s="47" t="s">
        <v>230</v>
      </c>
      <c r="C3" s="47"/>
      <c r="D3" s="47"/>
      <c r="E3" s="48" t="s">
        <v>231</v>
      </c>
      <c r="F3" s="48"/>
      <c r="G3" s="48"/>
      <c r="H3" s="48"/>
      <c r="I3" s="48"/>
      <c r="J3" s="48"/>
      <c r="K3" s="48"/>
      <c r="L3" s="48"/>
      <c r="M3" s="48"/>
      <c r="N3" s="47" t="s">
        <v>232</v>
      </c>
      <c r="O3" s="47"/>
      <c r="P3" s="47"/>
    </row>
    <row r="4" s="41" customFormat="1" ht="12" spans="1:16">
      <c r="A4" s="49"/>
      <c r="B4" s="50" t="s">
        <v>204</v>
      </c>
      <c r="C4" s="50" t="s">
        <v>111</v>
      </c>
      <c r="D4" s="50" t="s">
        <v>233</v>
      </c>
      <c r="E4" s="51" t="s">
        <v>204</v>
      </c>
      <c r="F4" s="51"/>
      <c r="G4" s="51"/>
      <c r="H4" s="51" t="s">
        <v>111</v>
      </c>
      <c r="I4" s="51"/>
      <c r="J4" s="51"/>
      <c r="K4" s="51" t="s">
        <v>233</v>
      </c>
      <c r="L4" s="51"/>
      <c r="M4" s="51"/>
      <c r="N4" s="51" t="s">
        <v>204</v>
      </c>
      <c r="O4" s="51" t="s">
        <v>111</v>
      </c>
      <c r="P4" s="51" t="s">
        <v>233</v>
      </c>
    </row>
    <row r="5" s="41" customFormat="1" ht="26" customHeight="1" spans="1:16">
      <c r="A5" s="49"/>
      <c r="B5" s="50"/>
      <c r="C5" s="50"/>
      <c r="D5" s="50"/>
      <c r="E5" s="52" t="s">
        <v>204</v>
      </c>
      <c r="F5" s="52" t="s">
        <v>234</v>
      </c>
      <c r="G5" s="52" t="s">
        <v>235</v>
      </c>
      <c r="H5" s="52" t="s">
        <v>204</v>
      </c>
      <c r="I5" s="52" t="s">
        <v>234</v>
      </c>
      <c r="J5" s="52" t="s">
        <v>235</v>
      </c>
      <c r="K5" s="52" t="s">
        <v>204</v>
      </c>
      <c r="L5" s="52" t="s">
        <v>234</v>
      </c>
      <c r="M5" s="52" t="s">
        <v>235</v>
      </c>
      <c r="N5" s="52" t="s">
        <v>204</v>
      </c>
      <c r="O5" s="52" t="s">
        <v>234</v>
      </c>
      <c r="P5" s="52" t="s">
        <v>234</v>
      </c>
    </row>
    <row r="6" ht="26" customHeight="1" spans="1:16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ht="14.25" spans="1:16">
      <c r="A7" s="55" t="str">
        <f>设置!$B$22</f>
        <v>***市县</v>
      </c>
      <c r="B7" s="56">
        <f>SUM(C7:D7)</f>
        <v>0</v>
      </c>
      <c r="C7" s="56">
        <f>SUMPRODUCT((个贷明细!Q8:Q666666&gt;=设置!E23)*(个贷明细!Q8:Q666666&lt;=设置!E24)*(个贷明细!AA8:AA666666&gt;0)*(1))</f>
        <v>0</v>
      </c>
      <c r="D7" s="56">
        <f>SUMPRODUCT((企贷明细!Q8:Q666666&gt;=设置!E23)*(企贷明细!Q8:Q666666&lt;=设置!E24)*(企贷明细!AA8:AA666666&gt;0)*(1))</f>
        <v>0</v>
      </c>
      <c r="E7" s="56">
        <f>SUM(F7:G7)</f>
        <v>0</v>
      </c>
      <c r="F7" s="56">
        <f>SUM(I7,L7)</f>
        <v>0</v>
      </c>
      <c r="G7" s="56">
        <f>SUM(J7,M7)</f>
        <v>0</v>
      </c>
      <c r="H7" s="56">
        <f>SUM(I7:J7)</f>
        <v>0</v>
      </c>
      <c r="I7" s="56">
        <f>SUMPRODUCT((个贷明细!Q8:Q666666&gt;=设置!E23)*(个贷明细!Q8:Q666666&lt;=设置!E24)*(个贷明细!AA8:AA666666))</f>
        <v>0</v>
      </c>
      <c r="J7" s="56">
        <f>SUMPRODUCT((个贷明细!Q8:Q666666&gt;=设置!E23)*(个贷明细!Q8:Q666666&lt;=设置!E24)*(个贷明细!AB8:AB666666))</f>
        <v>0</v>
      </c>
      <c r="K7" s="56">
        <f>SUM(L7:M7)</f>
        <v>0</v>
      </c>
      <c r="L7" s="56">
        <f>SUMPRODUCT((企贷明细!Q8:Q666666&gt;=设置!E23)*(企贷明细!Q8:Q666666&lt;=设置!E24)*(企贷明细!AA8:AA666666))</f>
        <v>0</v>
      </c>
      <c r="M7" s="56">
        <f>SUMPRODUCT((企贷明细!Q8:Q666666&gt;=设置!E23)*(企贷明细!Q8:Q666666&lt;=设置!E24)*(企贷明细!AB8:AB666666))</f>
        <v>0</v>
      </c>
      <c r="N7" s="56">
        <f>SUM(O7:P7)</f>
        <v>0</v>
      </c>
      <c r="O7" s="56">
        <f>SUMPRODUCT((个贷明细!N8:N666666&lt;&gt;0)*(个贷明细!Q8:Q666666&gt;=设置!E23)*(个贷明细!Q8:Q666666&lt;=设置!E24)*(个贷明细!I8:I666666="个人")*(1))+SUMPRODUCT((个贷明细!N8:N666666&lt;&gt;0)*(个贷明细!Q8:Q666666&gt;=设置!E23)*(个贷明细!Q8:Q666666&lt;=设置!E24)*(个贷明细!I8:I666666="合伙")*(个贷明细!J8:J666666))</f>
        <v>0</v>
      </c>
      <c r="P7" s="56">
        <f>SUMPRODUCT((企贷明细!N8:N666666&lt;&gt;0)*(企贷明细!Q8:Q666666&gt;=设置!E23)*(企贷明细!Q8:Q666666&lt;=设置!E24)*(企贷明细!J8:J666666))</f>
        <v>0</v>
      </c>
    </row>
    <row r="8" ht="14.25" spans="1:16">
      <c r="A8" s="57" t="s">
        <v>236</v>
      </c>
      <c r="B8" s="56">
        <f>SUM(C8:D8)</f>
        <v>0</v>
      </c>
      <c r="C8" s="56">
        <f>SUMPRODUCT((个贷明细!Q8:Q666666&gt;=设置!J23)*(个贷明细!Q8:Q666666&gt;=设置!E23)*(个贷明细!Q8:Q666666&lt;=设置!E24)*(个贷明细!AA8:AA666666&gt;0)*(1))</f>
        <v>0</v>
      </c>
      <c r="D8" s="56">
        <f>SUMPRODUCT((企贷明细!Q8:Q666666&gt;=设置!J23)*(企贷明细!Q8:Q666666&gt;=设置!E23)*(企贷明细!Q8:Q666666&lt;=设置!E24)*(企贷明细!AA8:AA666666&gt;0)*(1))</f>
        <v>0</v>
      </c>
      <c r="E8" s="56">
        <f>SUM(F8:G8)</f>
        <v>0</v>
      </c>
      <c r="F8" s="56">
        <f>SUM(I8,L8)</f>
        <v>0</v>
      </c>
      <c r="G8" s="56">
        <f>SUM(J8,M8)</f>
        <v>0</v>
      </c>
      <c r="H8" s="56">
        <f>SUM(I8:J8)</f>
        <v>0</v>
      </c>
      <c r="I8" s="56">
        <f>SUMPRODUCT((个贷明细!Q8:Q666666&gt;=设置!J23)*(个贷明细!Q8:Q666666&gt;=设置!E23)*(个贷明细!Q8:Q666666&lt;=设置!E24)*(个贷明细!AA8:AA666666))</f>
        <v>0</v>
      </c>
      <c r="J8" s="56">
        <f>SUMPRODUCT((个贷明细!Q8:Q666666&gt;=设置!J23)*(个贷明细!Q8:Q666666&gt;=设置!E23)*(个贷明细!Q8:Q666666&lt;=设置!E24)*(个贷明细!AB8:AB666666))</f>
        <v>0</v>
      </c>
      <c r="K8" s="56">
        <f>SUM(L8:M8)</f>
        <v>0</v>
      </c>
      <c r="L8" s="56">
        <f>SUMPRODUCT((企贷明细!Q8:Q666666&gt;=设置!J23)*(企贷明细!Q8:Q666666&gt;=设置!E23)*(企贷明细!Q8:Q666666&lt;=设置!E24)*(企贷明细!AA8:AA666666))</f>
        <v>0</v>
      </c>
      <c r="M8" s="56">
        <f>SUMPRODUCT((企贷明细!Q8:Q666666&gt;=设置!J23)*(企贷明细!Q8:Q666666&gt;=设置!E23)*(企贷明细!Q8:Q666666&lt;=设置!E24)*(企贷明细!AB8:AB666666))</f>
        <v>0</v>
      </c>
      <c r="N8" s="56">
        <f>SUM(O8:P8)</f>
        <v>0</v>
      </c>
      <c r="O8" s="56">
        <f>SUMPRODUCT((个贷明细!N8:N666666&lt;&gt;0)*(个贷明细!Q8:Q666666&gt;=设置!J23)*(个贷明细!Q8:Q666666&gt;=设置!E23)*(个贷明细!Q8:Q666666&lt;=设置!E24)*(个贷明细!I8:I666666="个人")*(1))+SUMPRODUCT((个贷明细!N8:N666666&lt;&gt;0)*(个贷明细!Q8:Q666666&gt;=设置!J23)*(个贷明细!Q8:Q666666&gt;=设置!E23)*(个贷明细!Q8:Q666666&lt;=设置!E24)*(个贷明细!I8:I666666="合伙")*(个贷明细!J8:J666666))</f>
        <v>0</v>
      </c>
      <c r="P8" s="56">
        <f>SUMPRODUCT((企贷明细!N8:N666666&lt;&gt;0)*(企贷明细!Q8:Q666666&gt;=设置!J23)*(企贷明细!Q8:Q666666&gt;=设置!E23)*(企贷明细!Q8:Q666666&lt;=设置!E24)*(企贷明细!J8:J666666))</f>
        <v>0</v>
      </c>
    </row>
    <row r="9" ht="14.25" spans="1:16">
      <c r="A9" s="57" t="s">
        <v>237</v>
      </c>
      <c r="B9" s="56">
        <f>SUM(C9:D9)</f>
        <v>0</v>
      </c>
      <c r="C9" s="56">
        <f>SUMPRODUCT((个贷明细!Q8:Q666666&lt;设置!J23)*(个贷明细!Q8:Q666666&gt;=设置!E23)*(个贷明细!Q8:Q666666&lt;=设置!E24)*(个贷明细!AA8:AA666666&gt;0)*(1))</f>
        <v>0</v>
      </c>
      <c r="D9" s="56">
        <f>SUMPRODUCT((企贷明细!Q8:Q666666&lt;设置!J23)*(企贷明细!Q8:Q666666&gt;=设置!E23)*(企贷明细!Q8:Q666666&lt;=设置!E24)*(企贷明细!AA8:AA666666&gt;0)*(1))</f>
        <v>0</v>
      </c>
      <c r="E9" s="56">
        <f>SUM(F9:G9)</f>
        <v>0</v>
      </c>
      <c r="F9" s="56">
        <f>SUM(I9,L9)</f>
        <v>0</v>
      </c>
      <c r="G9" s="56">
        <f>SUM(J9,M9)</f>
        <v>0</v>
      </c>
      <c r="H9" s="56">
        <f>SUM(I9:J9)</f>
        <v>0</v>
      </c>
      <c r="I9" s="56">
        <f>SUMPRODUCT((个贷明细!Q8:Q666666&lt;设置!J23)*(个贷明细!Q8:Q666666&gt;=设置!E23)*(个贷明细!Q8:Q666666&lt;=设置!E24)*(个贷明细!AA8:AA666666))</f>
        <v>0</v>
      </c>
      <c r="J9" s="56">
        <f>SUMPRODUCT((个贷明细!Q8:Q666666&lt;设置!J23)*(个贷明细!Q8:Q666666&gt;=设置!E23)*(个贷明细!Q8:Q666666&lt;=设置!E24)*(个贷明细!AB8:AB666666))</f>
        <v>0</v>
      </c>
      <c r="K9" s="56">
        <f>SUM(L9:M9)</f>
        <v>0</v>
      </c>
      <c r="L9" s="56">
        <f>SUMPRODUCT((企贷明细!Q8:Q666666&lt;设置!J23)*(企贷明细!Q8:Q666666&gt;=设置!E23)*(企贷明细!Q8:Q666666&lt;=设置!E24)*(企贷明细!AA8:AA666666))</f>
        <v>0</v>
      </c>
      <c r="M9" s="56">
        <f>SUMPRODUCT((企贷明细!Q8:Q666666&lt;设置!J23)*(企贷明细!Q8:Q666666&gt;=设置!E23)*(企贷明细!Q8:Q666666&lt;=设置!E24)*(企贷明细!AB8:AB666666))</f>
        <v>0</v>
      </c>
      <c r="N9" s="56">
        <f>SUM(O9:P9)</f>
        <v>0</v>
      </c>
      <c r="O9" s="56">
        <f>SUMPRODUCT((个贷明细!N8:N666666&lt;&gt;0)*(个贷明细!Q8:Q666666&lt;设置!J23)*(个贷明细!Q8:Q666666&gt;=设置!E23)*(个贷明细!Q8:Q666666&lt;=设置!E24)*(个贷明细!I8:I666666="个人")*(1))+SUMPRODUCT((个贷明细!N8:N666666&lt;&gt;0)*(个贷明细!Q8:Q666666&lt;设置!J23)*(个贷明细!Q8:Q666666&gt;=设置!E23)*(个贷明细!Q8:Q666666&lt;=设置!E24)*(个贷明细!I8:I666666="合伙")*(个贷明细!J8:J666666))</f>
        <v>0</v>
      </c>
      <c r="P9" s="56">
        <f>SUMPRODUCT((企贷明细!N8:N666666&lt;&gt;0)*(企贷明细!Q8:Q666666&lt;设置!J23)*(企贷明细!Q8:Q666666&gt;=设置!E23)*(企贷明细!Q8:Q666666&lt;=设置!E24)*(企贷明细!J8:J666666))</f>
        <v>0</v>
      </c>
    </row>
    <row r="11" spans="1:13">
      <c r="A11" s="46" t="s">
        <v>229</v>
      </c>
      <c r="B11" s="47" t="s">
        <v>238</v>
      </c>
      <c r="C11" s="47"/>
      <c r="D11" s="47"/>
      <c r="E11" s="48" t="s">
        <v>239</v>
      </c>
      <c r="F11" s="48"/>
      <c r="G11" s="48"/>
      <c r="H11" s="48"/>
      <c r="I11" s="48"/>
      <c r="J11" s="48"/>
      <c r="K11" s="48"/>
      <c r="L11" s="48"/>
      <c r="M11" s="48"/>
    </row>
    <row r="12" spans="1:13">
      <c r="A12" s="49"/>
      <c r="B12" s="52" t="s">
        <v>204</v>
      </c>
      <c r="C12" s="52" t="s">
        <v>111</v>
      </c>
      <c r="D12" s="52" t="s">
        <v>233</v>
      </c>
      <c r="E12" s="51" t="s">
        <v>204</v>
      </c>
      <c r="F12" s="51"/>
      <c r="G12" s="51"/>
      <c r="H12" s="51" t="s">
        <v>111</v>
      </c>
      <c r="I12" s="51"/>
      <c r="J12" s="51"/>
      <c r="K12" s="51" t="s">
        <v>233</v>
      </c>
      <c r="L12" s="51"/>
      <c r="M12" s="51"/>
    </row>
    <row r="13" spans="1:13">
      <c r="A13" s="49"/>
      <c r="B13" s="50"/>
      <c r="C13" s="50"/>
      <c r="D13" s="50"/>
      <c r="E13" s="58" t="s">
        <v>204</v>
      </c>
      <c r="F13" s="58" t="s">
        <v>234</v>
      </c>
      <c r="G13" s="58" t="s">
        <v>235</v>
      </c>
      <c r="H13" s="58" t="s">
        <v>204</v>
      </c>
      <c r="I13" s="58" t="s">
        <v>234</v>
      </c>
      <c r="J13" s="58" t="s">
        <v>235</v>
      </c>
      <c r="K13" s="58" t="s">
        <v>204</v>
      </c>
      <c r="L13" s="58" t="s">
        <v>234</v>
      </c>
      <c r="M13" s="58" t="s">
        <v>235</v>
      </c>
    </row>
    <row r="14" ht="37" customHeight="1" spans="1:13">
      <c r="A14" s="53"/>
      <c r="B14" s="54"/>
      <c r="C14" s="54"/>
      <c r="D14" s="54"/>
      <c r="E14" s="59"/>
      <c r="F14" s="59"/>
      <c r="G14" s="59"/>
      <c r="H14" s="59"/>
      <c r="I14" s="59"/>
      <c r="J14" s="59"/>
      <c r="K14" s="59"/>
      <c r="L14" s="59"/>
      <c r="M14" s="59"/>
    </row>
    <row r="15" ht="14.25" spans="1:13">
      <c r="A15" s="55" t="str">
        <f>设置!$B$22</f>
        <v>***市县</v>
      </c>
      <c r="B15" s="56">
        <f>SUM(C15:D15)</f>
        <v>0</v>
      </c>
      <c r="C15" s="56">
        <f>SUMPRODUCT((个贷明细!N8:N666666&lt;&gt;0)*(个贷明细!Q8:Q666666&lt;设置!F23)*(个贷明细!R8:R666666&gt;设置!E24)*(个贷明细!T8:T666666=0)*(1))+SUMPRODUCT((个贷明细!N8:N666666&lt;&gt;0)*(个贷明细!Q8:Q666666&lt;设置!F23)*(个贷明细!R8:R666666&gt;设置!E24)*(个贷明细!T8:T666666&gt;设置!E24)*(1))</f>
        <v>0</v>
      </c>
      <c r="D15" s="56">
        <f>SUMPRODUCT((企贷明细!N8:N666666&lt;&gt;0)*(企贷明细!Q8:Q666666&lt;设置!F23)*(企贷明细!R8:R666666&gt;设置!E24)*(企贷明细!T8:T666666=0)*(1))+SUMPRODUCT((企贷明细!N8:N666666&lt;&gt;0)*(企贷明细!Q8:Q666666&lt;设置!F23)*(企贷明细!R8:R666666&gt;设置!E24)*(企贷明细!T8:T666666&gt;设置!E24)*(1))</f>
        <v>0</v>
      </c>
      <c r="E15" s="56">
        <f>SUM(F15:G15)</f>
        <v>0</v>
      </c>
      <c r="F15" s="56">
        <f>SUM(I15,L15)</f>
        <v>0</v>
      </c>
      <c r="G15" s="56">
        <f>SUM(J15,M15)</f>
        <v>0</v>
      </c>
      <c r="H15" s="56">
        <f>SUM(I15:J15)</f>
        <v>0</v>
      </c>
      <c r="I15" s="56">
        <f>SUMPRODUCT((个贷明细!Q8:Q666666&lt;设置!F23)*(个贷明细!R8:R666666&gt;设置!E24)*(个贷明细!T8:T666666=0)*(个贷明细!AA8:AA666666))+SUMPRODUCT((个贷明细!Q8:Q666666&lt;设置!F23)*(个贷明细!R8:R666666&gt;设置!E24)*(个贷明细!T8:T666666&gt;设置!E24)*(个贷明细!AA8:AA666666))</f>
        <v>0</v>
      </c>
      <c r="J15" s="56">
        <f>SUMPRODUCT((个贷明细!Q8:Q666666&lt;设置!F23)*(个贷明细!R8:R666666&gt;设置!E24)*(个贷明细!T8:T666666=0)*(个贷明细!AB8:AB666666))+SUMPRODUCT((个贷明细!Q8:Q666666&lt;设置!F23)*(个贷明细!R8:R666666&gt;设置!E24)*(个贷明细!T8:T666666&gt;设置!E24)*(个贷明细!AB8:AB666666))</f>
        <v>0</v>
      </c>
      <c r="K15" s="56">
        <f>SUM(L15:M15)</f>
        <v>0</v>
      </c>
      <c r="L15" s="56">
        <f>SUMPRODUCT((企贷明细!Q8:Q666666&lt;设置!F23)*(企贷明细!R8:R666666&gt;设置!E24)*(企贷明细!T8:T666666=0)*(企贷明细!AA8:AA666666))+SUMPRODUCT((企贷明细!Q8:Q666666&lt;设置!F23)*(企贷明细!R8:R666666&gt;设置!E24)*(企贷明细!T8:T666666&gt;设置!E24)*(企贷明细!AA8:AA666666))</f>
        <v>0</v>
      </c>
      <c r="M15" s="56">
        <f>SUMPRODUCT((企贷明细!Q8:Q666666&lt;设置!F23)*(企贷明细!R8:R666666&gt;设置!E24)*(企贷明细!T8:T666666=0)*(企贷明细!AB8:AB666666))+SUMPRODUCT((企贷明细!Q8:Q666666&lt;设置!F23)*(企贷明细!R8:R666666&gt;设置!E24)*(企贷明细!T8:T666666&gt;设置!E24)*(企贷明细!AB8:AB666666))</f>
        <v>0</v>
      </c>
    </row>
    <row r="16" ht="14.25" spans="1:13">
      <c r="A16" s="57" t="s">
        <v>236</v>
      </c>
      <c r="B16" s="56">
        <f>SUM(C16:D16)</f>
        <v>0</v>
      </c>
      <c r="C16" s="56">
        <f>SUMPRODUCT((个贷明细!N8:N666666&lt;&gt;0)*(个贷明细!Q8:Q666666&gt;=设置!J23)*(个贷明细!Q8:Q666666&lt;设置!F23)*(个贷明细!R8:R666666&gt;设置!E24)*(个贷明细!T8:T666666=0)*(1))+SUMPRODUCT((个贷明细!N8:N666666&lt;&gt;0)*(个贷明细!Q8:Q666666&gt;=设置!J23)*(个贷明细!Q8:Q666666&lt;设置!F23)*(个贷明细!R8:R666666&gt;设置!E24)*(个贷明细!T8:T666666&gt;设置!E24)*(1))</f>
        <v>0</v>
      </c>
      <c r="D16" s="56">
        <f>SUMPRODUCT((企贷明细!N8:N666666&lt;&gt;0)*(企贷明细!Q8:Q666666&gt;=设置!J23)*(企贷明细!Q8:Q666666&lt;设置!F23)*(企贷明细!R8:R666666&gt;设置!E24)*(企贷明细!T8:T666666=0)*(1))+SUMPRODUCT((企贷明细!N8:N666666&lt;&gt;0)*(企贷明细!Q8:Q666666&gt;=设置!J23)*(企贷明细!Q8:Q666666&lt;设置!F23)*(企贷明细!R8:R666666&gt;设置!E24)*(企贷明细!T8:T666666&gt;设置!E24)*(1))</f>
        <v>0</v>
      </c>
      <c r="E16" s="56">
        <f>SUM(F16:G16)</f>
        <v>0</v>
      </c>
      <c r="F16" s="56">
        <f>SUM(I16,L16)</f>
        <v>0</v>
      </c>
      <c r="G16" s="56">
        <f>SUM(J16,M16)</f>
        <v>0</v>
      </c>
      <c r="H16" s="56">
        <f>SUM(I16:J16)</f>
        <v>0</v>
      </c>
      <c r="I16" s="56">
        <f>SUMPRODUCT((个贷明细!Q8:Q666666&gt;=设置!J23)*(个贷明细!Q8:Q666666&lt;设置!F23)*(个贷明细!R8:R666666&gt;设置!E24)*(个贷明细!T8:T666666=0)*(个贷明细!AA8:AA666666))+SUMPRODUCT((个贷明细!Q8:Q666666&gt;=设置!J23)*(个贷明细!Q8:Q666666&lt;设置!F23)*(个贷明细!R8:R666666&gt;设置!E24)*(个贷明细!T8:T666666&gt;设置!E24)*(个贷明细!AA8:AA666666))</f>
        <v>0</v>
      </c>
      <c r="J16" s="56">
        <f>SUMPRODUCT((个贷明细!Q8:Q666666&gt;=设置!J23)*(个贷明细!Q8:Q666666&lt;设置!F23)*(个贷明细!R8:R666666&gt;设置!E24)*(个贷明细!T8:T666666=0)*(个贷明细!AB8:AB666666))+SUMPRODUCT((个贷明细!Q8:Q666666&gt;=设置!J23)*(个贷明细!Q8:Q666666&lt;设置!F23)*(个贷明细!R8:R666666&gt;设置!E24)*(个贷明细!T8:T666666&gt;设置!E24)*(个贷明细!AB8:AB666666))</f>
        <v>0</v>
      </c>
      <c r="K16" s="56">
        <f>SUM(L16:M16)</f>
        <v>0</v>
      </c>
      <c r="L16" s="56">
        <f>SUMPRODUCT((企贷明细!Q8:Q666666&gt;=设置!J23)*(企贷明细!Q8:Q666666&lt;设置!F23)*(企贷明细!R8:R666666&gt;设置!E24)*(企贷明细!T8:T666666=0)*(企贷明细!AA8:AA666666))+SUMPRODUCT((企贷明细!Q8:Q666666&gt;=设置!J23)*(企贷明细!Q8:Q666666&lt;设置!F23)*(企贷明细!R8:R666666&gt;设置!E24)*(企贷明细!T8:T666666&gt;设置!E24)*(企贷明细!AA8:AA666666))</f>
        <v>0</v>
      </c>
      <c r="M16" s="56">
        <f>SUMPRODUCT((企贷明细!Q8:Q666666&gt;=设置!J23)*(企贷明细!Q8:Q666666&lt;设置!F23)*(企贷明细!R8:R666666&gt;设置!E24)*(企贷明细!T8:T666666=0)*(企贷明细!AB8:AB666666))+SUMPRODUCT((企贷明细!Q8:Q666666&gt;=设置!J23)*(企贷明细!Q8:Q666666&lt;设置!F23)*(企贷明细!R8:R666666&gt;设置!E24)*(企贷明细!T8:T666666&gt;设置!E24)*(企贷明细!AB8:AB666666))</f>
        <v>0</v>
      </c>
    </row>
    <row r="17" ht="14.25" spans="1:13">
      <c r="A17" s="57" t="s">
        <v>237</v>
      </c>
      <c r="B17" s="56">
        <f>SUM(C17:D17)</f>
        <v>0</v>
      </c>
      <c r="C17" s="56">
        <f>SUMPRODUCT((个贷明细!N8:N666666&lt;&gt;0)*(个贷明细!Q8:Q666666&lt;设置!J23)*(个贷明细!Q8:Q666666&lt;设置!F23)*(个贷明细!R8:R666666&gt;设置!E24)*(个贷明细!T8:T666666=0)*(1))+SUMPRODUCT((个贷明细!N8:N666666&lt;&gt;0)*(个贷明细!Q8:Q666666&lt;设置!J23)*(个贷明细!Q8:Q666666&lt;设置!F23)*(个贷明细!R8:R666666&gt;设置!E24)*(个贷明细!T8:T666666&gt;设置!E24)*(1))</f>
        <v>0</v>
      </c>
      <c r="D17" s="56">
        <f>SUMPRODUCT((企贷明细!N8:N666666&lt;&gt;0)*(企贷明细!Q8:Q666666&lt;设置!J23)*(企贷明细!Q8:Q666666&lt;设置!F23)*(企贷明细!R8:R666666&gt;设置!E24)*(企贷明细!T8:T666666=0)*(1))+SUMPRODUCT((企贷明细!N8:N666666&lt;&gt;0)*(企贷明细!Q8:Q666666&lt;设置!J23)*(企贷明细!Q8:Q666666&lt;设置!F23)*(企贷明细!R8:R666666&gt;设置!E24)*(企贷明细!T8:T666666&gt;设置!E24)*(1))</f>
        <v>0</v>
      </c>
      <c r="E17" s="56">
        <f>SUM(F17:G17)</f>
        <v>0</v>
      </c>
      <c r="F17" s="56">
        <f>SUM(I17,L17)</f>
        <v>0</v>
      </c>
      <c r="G17" s="56">
        <f>SUM(J17,M17)</f>
        <v>0</v>
      </c>
      <c r="H17" s="56">
        <f>SUM(I17:J17)</f>
        <v>0</v>
      </c>
      <c r="I17" s="56">
        <f>SUMPRODUCT((个贷明细!Q8:Q666666&lt;设置!J23)*(个贷明细!Q8:Q666666&lt;设置!F23)*(个贷明细!R8:R666666&gt;设置!E24)*(个贷明细!T8:T666666=0)*(个贷明细!AA8:AA666666))+SUMPRODUCT((个贷明细!Q8:Q666666&lt;设置!J23)*(个贷明细!Q8:Q666666&lt;设置!F23)*(个贷明细!R8:R666666&gt;设置!E24)*(个贷明细!T8:T666666&gt;设置!E24)*(个贷明细!AA8:AA666666))</f>
        <v>0</v>
      </c>
      <c r="J17" s="56">
        <f>SUMPRODUCT((个贷明细!Q8:Q666666&lt;设置!J23)*(个贷明细!Q8:Q666666&lt;设置!F23)*(个贷明细!R8:R666666&gt;设置!E24)*(个贷明细!T8:T666666=0)*(个贷明细!AB8:AB666666))+SUMPRODUCT((个贷明细!Q8:Q666666&lt;设置!J23)*(个贷明细!Q8:Q666666&lt;设置!F23)*(个贷明细!R8:R666666&gt;设置!E24)*(个贷明细!T8:T666666&gt;设置!E24)*(个贷明细!AB8:AB666666))</f>
        <v>0</v>
      </c>
      <c r="K17" s="56">
        <f>SUM(L17:M17)</f>
        <v>0</v>
      </c>
      <c r="L17" s="56">
        <f>SUMPRODUCT((企贷明细!Q8:Q666666&lt;设置!J23)*(企贷明细!Q8:Q666666&lt;设置!F23)*(企贷明细!R8:R666666&gt;设置!E24)*(企贷明细!T8:T666666=0)*(企贷明细!AA8:AA666666))+SUMPRODUCT((企贷明细!Q8:Q666666&lt;设置!J23)*(企贷明细!Q8:Q666666&lt;设置!F23)*(企贷明细!R8:R666666&gt;设置!E24)*(企贷明细!T8:T666666&gt;设置!E24)*(企贷明细!AA8:AA666666))</f>
        <v>0</v>
      </c>
      <c r="M17" s="56">
        <f>SUMPRODUCT((企贷明细!Q8:Q666666&lt;设置!J23)*(企贷明细!Q8:Q666666&lt;设置!F23)*(企贷明细!R8:R666666&gt;设置!E24)*(企贷明细!T8:T666666=0)*(企贷明细!AB8:AB666666))+SUMPRODUCT((企贷明细!Q8:Q666666&lt;设置!J23)*(企贷明细!Q8:Q666666&lt;设置!F23)*(企贷明细!R8:R666666&gt;设置!E24)*(企贷明细!T8:T666666&gt;设置!E24)*(企贷明细!AB8:AB666666))</f>
        <v>0</v>
      </c>
    </row>
    <row r="19" spans="1:23">
      <c r="A19" s="46" t="s">
        <v>229</v>
      </c>
      <c r="B19" s="60" t="s">
        <v>240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70"/>
    </row>
    <row r="20" spans="1:23">
      <c r="A20" s="49"/>
      <c r="B20" s="60" t="s">
        <v>204</v>
      </c>
      <c r="C20" s="61"/>
      <c r="D20" s="61"/>
      <c r="E20" s="61"/>
      <c r="F20" s="61"/>
      <c r="G20" s="61"/>
      <c r="H20" s="61"/>
      <c r="I20" s="70"/>
      <c r="J20" s="60" t="s">
        <v>111</v>
      </c>
      <c r="K20" s="61"/>
      <c r="L20" s="61"/>
      <c r="M20" s="61"/>
      <c r="N20" s="61"/>
      <c r="O20" s="70"/>
      <c r="P20" s="60" t="s">
        <v>233</v>
      </c>
      <c r="Q20" s="61"/>
      <c r="R20" s="61"/>
      <c r="S20" s="61"/>
      <c r="T20" s="61"/>
      <c r="U20" s="61"/>
      <c r="V20" s="61"/>
      <c r="W20" s="70"/>
    </row>
    <row r="21" spans="1:23">
      <c r="A21" s="49"/>
      <c r="B21" s="62" t="s">
        <v>204</v>
      </c>
      <c r="C21" s="62" t="s">
        <v>241</v>
      </c>
      <c r="D21" s="62"/>
      <c r="E21" s="62"/>
      <c r="F21" s="62"/>
      <c r="G21" s="62" t="s">
        <v>242</v>
      </c>
      <c r="H21" s="62"/>
      <c r="I21" s="62"/>
      <c r="J21" s="62" t="s">
        <v>204</v>
      </c>
      <c r="K21" s="62" t="s">
        <v>241</v>
      </c>
      <c r="L21" s="62"/>
      <c r="M21" s="62"/>
      <c r="N21" s="62"/>
      <c r="O21" s="62" t="s">
        <v>242</v>
      </c>
      <c r="P21" s="62" t="s">
        <v>204</v>
      </c>
      <c r="Q21" s="62" t="s">
        <v>241</v>
      </c>
      <c r="R21" s="62"/>
      <c r="S21" s="62"/>
      <c r="T21" s="62"/>
      <c r="U21" s="62" t="s">
        <v>242</v>
      </c>
      <c r="V21" s="62"/>
      <c r="W21" s="62"/>
    </row>
    <row r="22" ht="27" customHeight="1" spans="1:23">
      <c r="A22" s="53"/>
      <c r="B22" s="62"/>
      <c r="C22" s="62" t="s">
        <v>204</v>
      </c>
      <c r="D22" s="63" t="s">
        <v>205</v>
      </c>
      <c r="E22" s="62" t="s">
        <v>206</v>
      </c>
      <c r="F22" s="62" t="s">
        <v>207</v>
      </c>
      <c r="G22" s="62" t="s">
        <v>204</v>
      </c>
      <c r="H22" s="62" t="s">
        <v>206</v>
      </c>
      <c r="I22" s="62" t="s">
        <v>207</v>
      </c>
      <c r="J22" s="62"/>
      <c r="K22" s="62" t="s">
        <v>204</v>
      </c>
      <c r="L22" s="63" t="s">
        <v>205</v>
      </c>
      <c r="M22" s="62" t="s">
        <v>206</v>
      </c>
      <c r="N22" s="62" t="s">
        <v>207</v>
      </c>
      <c r="O22" s="62"/>
      <c r="P22" s="62"/>
      <c r="Q22" s="62" t="s">
        <v>204</v>
      </c>
      <c r="R22" s="63" t="s">
        <v>205</v>
      </c>
      <c r="S22" s="62" t="s">
        <v>206</v>
      </c>
      <c r="T22" s="62" t="s">
        <v>207</v>
      </c>
      <c r="U22" s="62" t="s">
        <v>204</v>
      </c>
      <c r="V22" s="62" t="s">
        <v>206</v>
      </c>
      <c r="W22" s="62" t="s">
        <v>207</v>
      </c>
    </row>
    <row r="23" ht="14.25" spans="1:23">
      <c r="A23" s="55" t="str">
        <f>设置!$B$22</f>
        <v>***市县</v>
      </c>
      <c r="B23" s="56">
        <f>SUM(C23,G23)</f>
        <v>0</v>
      </c>
      <c r="C23" s="56">
        <f>SUM(D23:F23)</f>
        <v>0</v>
      </c>
      <c r="D23" s="56">
        <f>SUM(L23,R23)</f>
        <v>0</v>
      </c>
      <c r="E23" s="56">
        <f>SUM(M23,S23)</f>
        <v>0</v>
      </c>
      <c r="F23" s="56">
        <f>SUM(N23,T23)</f>
        <v>0</v>
      </c>
      <c r="G23" s="56">
        <f>SUM(H23:I23)</f>
        <v>0</v>
      </c>
      <c r="H23" s="56">
        <f>SUM(V23)</f>
        <v>0</v>
      </c>
      <c r="I23" s="56">
        <f>SUM(O23,W23)</f>
        <v>0</v>
      </c>
      <c r="J23" s="56">
        <f>SUM(K23,O23)</f>
        <v>0</v>
      </c>
      <c r="K23" s="56">
        <f>SUM(L23:N23)</f>
        <v>0</v>
      </c>
      <c r="L23" s="56">
        <f>个贷明细!AE7</f>
        <v>0</v>
      </c>
      <c r="M23" s="56">
        <f>个贷明细!AF7</f>
        <v>0</v>
      </c>
      <c r="N23" s="56">
        <f>个贷明细!AG7</f>
        <v>0</v>
      </c>
      <c r="O23" s="56">
        <f>个贷明细!AI7</f>
        <v>0</v>
      </c>
      <c r="P23" s="56">
        <f>SUM(Q23,U23)</f>
        <v>0</v>
      </c>
      <c r="Q23" s="56">
        <f>SUM(R23:T23)</f>
        <v>0</v>
      </c>
      <c r="R23" s="56">
        <f>企贷明细!AE7</f>
        <v>0</v>
      </c>
      <c r="S23" s="56">
        <f>企贷明细!AF7</f>
        <v>0</v>
      </c>
      <c r="T23" s="56">
        <f>企贷明细!AG7</f>
        <v>0</v>
      </c>
      <c r="U23" s="56">
        <f>SUM(V23:W23)</f>
        <v>0</v>
      </c>
      <c r="V23" s="56">
        <f>企贷明细!AH7</f>
        <v>0</v>
      </c>
      <c r="W23" s="56">
        <f>企贷明细!AI7+企贷明细!AK7</f>
        <v>0</v>
      </c>
    </row>
    <row r="24" ht="14.25" spans="1:23">
      <c r="A24" s="57" t="s">
        <v>236</v>
      </c>
      <c r="B24" s="56">
        <f>SUM(C24,G24)</f>
        <v>0</v>
      </c>
      <c r="C24" s="56">
        <f>SUM(D24:F24)</f>
        <v>0</v>
      </c>
      <c r="D24" s="56">
        <f>SUM(L24,R24)</f>
        <v>0</v>
      </c>
      <c r="E24" s="56">
        <f>SUM(M24,S24)</f>
        <v>0</v>
      </c>
      <c r="F24" s="56">
        <f>SUM(N24,T24)</f>
        <v>0</v>
      </c>
      <c r="G24" s="56">
        <f>SUM(H24:I24)</f>
        <v>0</v>
      </c>
      <c r="H24" s="56">
        <f>SUM(V24)</f>
        <v>0</v>
      </c>
      <c r="I24" s="56">
        <f>SUM(O24,W24)</f>
        <v>0</v>
      </c>
      <c r="J24" s="56">
        <f>SUM(K24,O24)</f>
        <v>0</v>
      </c>
      <c r="K24" s="56">
        <f>SUM(L24:N24)</f>
        <v>0</v>
      </c>
      <c r="L24" s="71">
        <f>SUMPRODUCT((个贷明细!Q8:Q666666&gt;=设置!J23)*(个贷明细!AE8:AE666666))</f>
        <v>0</v>
      </c>
      <c r="M24" s="71">
        <f>SUMPRODUCT((个贷明细!Q8:Q666666&gt;=设置!J23)*(个贷明细!AF8:AF666666))</f>
        <v>0</v>
      </c>
      <c r="N24" s="56">
        <f>SUMPRODUCT((个贷明细!Q8:Q666666&gt;=设置!J23)*(个贷明细!AG8:AG666666))</f>
        <v>0</v>
      </c>
      <c r="O24" s="56">
        <f>SUMPRODUCT((个贷明细!Q8:Q666666&gt;=设置!J23)*(个贷明细!AI8:AI666666))</f>
        <v>0</v>
      </c>
      <c r="P24" s="56">
        <f>SUM(Q24,U24)</f>
        <v>0</v>
      </c>
      <c r="Q24" s="56">
        <f>SUM(R24:T24)</f>
        <v>0</v>
      </c>
      <c r="R24" s="71">
        <f>SUMPRODUCT((企贷明细!Q8:Q666666&gt;=设置!J23)*(企贷明细!AE8:AE666666))</f>
        <v>0</v>
      </c>
      <c r="S24" s="71">
        <f>SUMPRODUCT((企贷明细!Q8:Q666666&gt;=设置!J23)*(企贷明细!AF8:AF666666))</f>
        <v>0</v>
      </c>
      <c r="T24" s="56">
        <f>SUMPRODUCT((企贷明细!Q8:Q666666&gt;=设置!J23)*(企贷明细!AG8:AG666666))</f>
        <v>0</v>
      </c>
      <c r="U24" s="56">
        <f>SUM(V24:W24)</f>
        <v>0</v>
      </c>
      <c r="V24" s="56">
        <f>SUMPRODUCT((企贷明细!Q8:Q666666&gt;=设置!J23)*(企贷明细!AH8:AH666666))</f>
        <v>0</v>
      </c>
      <c r="W24" s="56">
        <f>SUMPRODUCT((企贷明细!Q8:Q666666&gt;=设置!J23)*(企贷明细!AI8:AI666666))+SUMPRODUCT((企贷明细!Q8:Q666666&gt;=设置!J23)*(企贷明细!AK8:AK666666))</f>
        <v>0</v>
      </c>
    </row>
    <row r="25" ht="14.25" spans="1:23">
      <c r="A25" s="57" t="s">
        <v>237</v>
      </c>
      <c r="B25" s="56">
        <f>SUM(C25,G25)</f>
        <v>0</v>
      </c>
      <c r="C25" s="56">
        <f>SUM(D25:F25)</f>
        <v>0</v>
      </c>
      <c r="D25" s="56">
        <f>SUM(L25,R25)</f>
        <v>0</v>
      </c>
      <c r="E25" s="56">
        <f>SUM(M25,S25)</f>
        <v>0</v>
      </c>
      <c r="F25" s="56">
        <f>SUM(N25,T25)</f>
        <v>0</v>
      </c>
      <c r="G25" s="56">
        <f>SUM(H25:I25)</f>
        <v>0</v>
      </c>
      <c r="H25" s="56">
        <f>SUM(V25)</f>
        <v>0</v>
      </c>
      <c r="I25" s="56">
        <f>SUM(O25,W25)</f>
        <v>0</v>
      </c>
      <c r="J25" s="56">
        <f>SUM(K25,O25)</f>
        <v>0</v>
      </c>
      <c r="K25" s="56">
        <f>SUM(L25:N25)</f>
        <v>0</v>
      </c>
      <c r="L25" s="56">
        <f>SUMPRODUCT((个贷明细!Q8:Q666666&lt;设置!J23)*(个贷明细!AE8:AE666666))</f>
        <v>0</v>
      </c>
      <c r="M25" s="56">
        <f>SUMPRODUCT((个贷明细!Q8:Q666666&lt;设置!J23)*(个贷明细!AF8:AF666666))</f>
        <v>0</v>
      </c>
      <c r="N25" s="56">
        <f>SUMPRODUCT((个贷明细!Q8:Q666666&lt;设置!J23)*(个贷明细!AG8:AG666666))</f>
        <v>0</v>
      </c>
      <c r="O25" s="56">
        <f>SUMPRODUCT((个贷明细!Q8:Q666666&lt;设置!J23)*(个贷明细!AI8:AI666666))</f>
        <v>0</v>
      </c>
      <c r="P25" s="56">
        <f>SUM(Q25,U25)</f>
        <v>0</v>
      </c>
      <c r="Q25" s="56">
        <f>SUM(R25:T25)</f>
        <v>0</v>
      </c>
      <c r="R25" s="56">
        <f>SUMPRODUCT((企贷明细!Q8:Q666666&lt;设置!J23)*(企贷明细!AE8:AE666666))</f>
        <v>0</v>
      </c>
      <c r="S25" s="56">
        <f>SUMPRODUCT((企贷明细!Q8:Q666666&lt;设置!J23)*(企贷明细!AF8:AF666666))</f>
        <v>0</v>
      </c>
      <c r="T25" s="56">
        <f>SUMPRODUCT((企贷明细!Q8:Q666666&lt;设置!J23)*(企贷明细!AG8:AG666666))</f>
        <v>0</v>
      </c>
      <c r="U25" s="56">
        <f>SUM(V25:W25)</f>
        <v>0</v>
      </c>
      <c r="V25" s="56">
        <f>SUMPRODUCT((企贷明细!Q8:Q666666&lt;设置!J23)*(企贷明细!AH8:AH666666))</f>
        <v>0</v>
      </c>
      <c r="W25" s="56">
        <f>SUMPRODUCT((企贷明细!Q8:Q666666&lt;设置!J23)*(企贷明细!AI8:AI666666))+SUMPRODUCT((企贷明细!Q8:Q666666&lt;设置!J23)*(企贷明细!AK8:AK666666))</f>
        <v>0</v>
      </c>
    </row>
    <row r="28" ht="18.75" spans="1:23">
      <c r="A28" s="74" t="str">
        <f>设置!B22&amp;(IF(YEAR(设置!D23)&lt;2021/1/1,"0000",YEAR(设置!D23)))&amp;设置!C28&amp;"一季度创业担保贷款财政贴息资金使用明细表"</f>
        <v>***市县2025年一季度创业担保贷款财政贴息资金使用明细表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>
      <c r="A30" s="64"/>
      <c r="B30" s="64"/>
      <c r="C30" s="64"/>
      <c r="D30" s="64"/>
      <c r="E30" s="15"/>
      <c r="F30" s="15"/>
      <c r="G30" s="15"/>
      <c r="H30" s="15"/>
      <c r="J30" s="15"/>
      <c r="K30" s="73" t="s">
        <v>243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>
      <c r="A31" s="65"/>
      <c r="B31" s="66" t="s">
        <v>244</v>
      </c>
      <c r="C31" s="66" t="s">
        <v>239</v>
      </c>
      <c r="D31" s="65" t="s">
        <v>245</v>
      </c>
      <c r="E31" s="65"/>
      <c r="F31" s="65"/>
      <c r="G31" s="65"/>
      <c r="H31" s="65"/>
      <c r="I31" s="65"/>
      <c r="J31" s="65"/>
      <c r="K31" s="65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 s="65"/>
      <c r="B32" s="66"/>
      <c r="C32" s="66"/>
      <c r="D32" s="67" t="s">
        <v>204</v>
      </c>
      <c r="E32" s="63" t="s">
        <v>241</v>
      </c>
      <c r="F32" s="63"/>
      <c r="G32" s="63"/>
      <c r="H32" s="63"/>
      <c r="I32" s="63" t="s">
        <v>242</v>
      </c>
      <c r="J32" s="63"/>
      <c r="K32" s="63"/>
      <c r="L32"/>
      <c r="M32"/>
      <c r="N32"/>
      <c r="O32"/>
      <c r="P32"/>
      <c r="Q32"/>
      <c r="R32"/>
      <c r="S32"/>
      <c r="T32"/>
      <c r="U32"/>
      <c r="V32"/>
      <c r="W32"/>
    </row>
    <row r="33" ht="24" spans="1:23">
      <c r="A33" s="65"/>
      <c r="B33" s="66"/>
      <c r="C33" s="66"/>
      <c r="D33" s="67"/>
      <c r="E33" s="63" t="s">
        <v>246</v>
      </c>
      <c r="F33" s="63" t="s">
        <v>205</v>
      </c>
      <c r="G33" s="63" t="s">
        <v>206</v>
      </c>
      <c r="H33" s="63" t="s">
        <v>207</v>
      </c>
      <c r="I33" s="63" t="s">
        <v>246</v>
      </c>
      <c r="J33" s="63" t="s">
        <v>206</v>
      </c>
      <c r="K33" s="63" t="s">
        <v>207</v>
      </c>
      <c r="L33"/>
      <c r="M33"/>
      <c r="N33"/>
      <c r="O33"/>
      <c r="P33"/>
      <c r="Q33"/>
      <c r="R33"/>
      <c r="S33"/>
      <c r="T33"/>
      <c r="U33"/>
      <c r="V33"/>
      <c r="W33"/>
    </row>
    <row r="34" ht="14.25" spans="1:23">
      <c r="A34" s="65" t="s">
        <v>204</v>
      </c>
      <c r="B34" s="56">
        <f>SUMPRODUCT((个贷明细!$Q$8:$Q$666666&gt;=设置!$E$23)*(个贷明细!$Q$8:$Q$666666&lt;=设置!$E$24)*(个贷明细!$N$8:$N$666666))+SUMPRODUCT((企贷明细!$Q$8:$Q$666666&gt;=设置!$E$23)*(企贷明细!$Q$8:$Q$666666&lt;=设置!$E$24)*(企贷明细!$N$8:$N$666666))</f>
        <v>0</v>
      </c>
      <c r="C34" s="56">
        <f>SUMPRODUCT((个贷明细!$Q$8:$Q$666666&lt;设置!$F$23)*(个贷明细!$R$8:$R$666666&gt;设置!$E$24)*(个贷明细!$T$8:$T$666666=0)*(个贷明细!$N$8:$N$666666))+SUMPRODUCT((个贷明细!$Q$8:$Q$666666&lt;设置!$F$23)*(个贷明细!$R$8:$R$666666&gt;设置!$E$24)*(个贷明细!$T$8:$T$666666&gt;设置!$E$24)*(个贷明细!$N$8:$N$666666))+SUMPRODUCT((企贷明细!$Q$8:$Q$666666&lt;设置!$F$23)*(企贷明细!$R$8:$R$666666&gt;设置!$E$24)*(企贷明细!$T$8:$T$666666=0)*(企贷明细!$N$8:$N$666666))+SUMPRODUCT((企贷明细!$Q$8:$Q$666666&lt;设置!$F$23)*(企贷明细!$R$8:$R$666666&gt;设置!$E$24)*(企贷明细!$T$8:$T$666666&gt;设置!$E$24)*(企贷明细!$N$8:$N$666666))</f>
        <v>0</v>
      </c>
      <c r="D34" s="56">
        <f t="shared" ref="D34:D69" si="0">SUM(E34,I34)</f>
        <v>0</v>
      </c>
      <c r="E34" s="56">
        <f t="shared" ref="E34:E69" si="1">SUM(F34:H34)</f>
        <v>0</v>
      </c>
      <c r="F34" s="56">
        <f>个贷明细!$AE$7+企贷明细!$AE$7</f>
        <v>0</v>
      </c>
      <c r="G34" s="56">
        <f>个贷明细!$AF$7+企贷明细!$AF$7</f>
        <v>0</v>
      </c>
      <c r="H34" s="56">
        <f>个贷明细!$AG$7+企贷明细!$AG$7</f>
        <v>0</v>
      </c>
      <c r="I34" s="56">
        <f t="shared" ref="I34:I69" si="2">SUM(J34:K34)</f>
        <v>0</v>
      </c>
      <c r="J34" s="56">
        <f>企贷明细!$AH$7</f>
        <v>0</v>
      </c>
      <c r="K34" s="56">
        <f>个贷明细!$AI$7+企贷明细!$AI$7+企贷明细!$AK$7</f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ht="14.25" spans="1:23">
      <c r="A35" s="68" t="s">
        <v>247</v>
      </c>
      <c r="B35" s="56">
        <f>SUMPRODUCT((个贷明细!$M$8:$M$666666=A35)*(个贷明细!$Q$8:$Q$666666&gt;=设置!$E$23)*(个贷明细!$Q$8:$Q$666666&lt;=设置!$E$24)*(个贷明细!$N$8:$N$666666))+SUMPRODUCT((企贷明细!$M$8:$M$666666=A35)*(企贷明细!$Q$8:$Q$666666&gt;=设置!$E$23)*(企贷明细!$Q$8:$Q$666666&lt;=设置!$E$24)*(企贷明细!$N$8:$N$666666))</f>
        <v>0</v>
      </c>
      <c r="C35" s="56">
        <f>SUMPRODUCT((个贷明细!$M$8:$M$666666=A35)*(个贷明细!$Q$8:$Q$666666&lt;设置!$F$23)*(个贷明细!$R$8:$R$666666&gt;设置!$E$24)*(个贷明细!$T$8:$T$666666=0)*(个贷明细!$N$8:$N$666666))+SUMPRODUCT((个贷明细!$M$8:$M$666666=A35)*(个贷明细!$Q$8:$Q$666666&lt;设置!$F$23)*(个贷明细!$R$8:$R$666666&gt;设置!$E$24)*(个贷明细!$T$8:$T$666666&gt;设置!$E$24)*(个贷明细!$N$8:$N$666666))+SUMPRODUCT((企贷明细!$M$8:$M$666666=A35)*(企贷明细!$Q$8:$Q$666666&lt;设置!$F$23)*(企贷明细!$R$8:$R$666666&gt;设置!$E$24)*(企贷明细!$T$8:$T$666666=0)*(企贷明细!$N$8:$N$666666))+SUMPRODUCT((企贷明细!$M$8:$M$666666=A35)*(企贷明细!$Q$8:$Q$666666&lt;设置!$F$23)*(企贷明细!$R$8:$R$666666&gt;设置!$E$24)*(企贷明细!$T$8:$T$666666&gt;设置!$E$24)*(企贷明细!$N$8:$N$666666))</f>
        <v>0</v>
      </c>
      <c r="D35" s="56">
        <f t="shared" si="0"/>
        <v>0</v>
      </c>
      <c r="E35" s="56">
        <f t="shared" si="1"/>
        <v>0</v>
      </c>
      <c r="F35" s="56">
        <f>SUMPRODUCT((个贷明细!$M$8:$M$666666=A35)*(个贷明细!$AE$8:$AE$666666))+SUMPRODUCT((企贷明细!$M$8:$M$666666=A35)*(企贷明细!$AE$8:$AE$666666))</f>
        <v>0</v>
      </c>
      <c r="G35" s="56">
        <f>SUMPRODUCT((个贷明细!$M$8:$M$666666=A35)*(个贷明细!$AF$8:$AF$666666))+SUMPRODUCT((企贷明细!$M$8:$M$666666=A35)*(企贷明细!$AF$8:$AF$666666))</f>
        <v>0</v>
      </c>
      <c r="H35" s="56">
        <f>SUMPRODUCT((个贷明细!$M$8:$M$666666=A35)*(个贷明细!$AG$8:$AG$666666))+SUMPRODUCT((企贷明细!$M$8:$M$666666=A35)*(企贷明细!$AG$8:$AG$666666))</f>
        <v>0</v>
      </c>
      <c r="I35" s="56">
        <f t="shared" si="2"/>
        <v>0</v>
      </c>
      <c r="J35" s="56">
        <f>SUMPRODUCT((企贷明细!$M$8:$M$666666=A35)*(企贷明细!$AH$8:$AH$666666))</f>
        <v>0</v>
      </c>
      <c r="K35" s="56">
        <f>SUMPRODUCT((个贷明细!$M$8:$M$666666=A35)*(个贷明细!$AI$8:$AI$666666))+SUMPRODUCT((企贷明细!$M$8:$M$666666=A35)*(企贷明细!$AI$8:$AI$666666))+SUMPRODUCT((企贷明细!$M$8:$M$666666=A35)*(企贷明细!$AK$8:$AK$666666))</f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ht="14.25" spans="1:23">
      <c r="A36" s="68" t="s">
        <v>248</v>
      </c>
      <c r="B36" s="56">
        <f>SUMPRODUCT((个贷明细!$M$8:$M$666666=A36)*(个贷明细!$Q$8:$Q$666666&gt;=设置!$E$23)*(个贷明细!$Q$8:$Q$666666&lt;=设置!$E$24)*(个贷明细!$N$8:$N$666666))+SUMPRODUCT((企贷明细!$M$8:$M$666666=A36)*(企贷明细!$Q$8:$Q$666666&gt;=设置!$E$23)*(企贷明细!$Q$8:$Q$666666&lt;=设置!$E$24)*(企贷明细!$N$8:$N$666666))</f>
        <v>0</v>
      </c>
      <c r="C36" s="56">
        <f>SUMPRODUCT((个贷明细!$M$8:$M$666666=A36)*(个贷明细!$Q$8:$Q$666666&lt;设置!$F$23)*(个贷明细!$R$8:$R$666666&gt;设置!$E$24)*(个贷明细!$T$8:$T$666666=0)*(个贷明细!$N$8:$N$666666))+SUMPRODUCT((个贷明细!$M$8:$M$666666=A36)*(个贷明细!$Q$8:$Q$666666&lt;设置!$F$23)*(个贷明细!$R$8:$R$666666&gt;设置!$E$24)*(个贷明细!$T$8:$T$666666&gt;设置!$E$24)*(个贷明细!$N$8:$N$666666))+SUMPRODUCT((企贷明细!$M$8:$M$666666=A36)*(企贷明细!$Q$8:$Q$666666&lt;设置!$F$23)*(企贷明细!$R$8:$R$666666&gt;设置!$E$24)*(企贷明细!$T$8:$T$666666=0)*(企贷明细!$N$8:$N$666666))+SUMPRODUCT((企贷明细!$M$8:$M$666666=A36)*(企贷明细!$Q$8:$Q$666666&lt;设置!$F$23)*(企贷明细!$R$8:$R$666666&gt;设置!$E$24)*(企贷明细!$T$8:$T$666666&gt;设置!$E$24)*(企贷明细!$N$8:$N$666666))</f>
        <v>0</v>
      </c>
      <c r="D36" s="56">
        <f t="shared" si="0"/>
        <v>0</v>
      </c>
      <c r="E36" s="56">
        <f t="shared" si="1"/>
        <v>0</v>
      </c>
      <c r="F36" s="56">
        <f>SUMPRODUCT((个贷明细!$M$8:$M$666666=A36)*(个贷明细!$AE$8:$AE$666666))+SUMPRODUCT((企贷明细!$M$8:$M$666666=A36)*(企贷明细!$AE$8:$AE$666666))</f>
        <v>0</v>
      </c>
      <c r="G36" s="56">
        <f>SUMPRODUCT((个贷明细!$M$8:$M$666666=A36)*(个贷明细!$AF$8:$AF$666666))+SUMPRODUCT((企贷明细!$M$8:$M$666666=A36)*(企贷明细!$AF$8:$AF$666666))</f>
        <v>0</v>
      </c>
      <c r="H36" s="56">
        <f>SUMPRODUCT((个贷明细!$M$8:$M$666666=A36)*(个贷明细!$AG$8:$AG$666666))+SUMPRODUCT((企贷明细!$M$8:$M$666666=A36)*(企贷明细!$AG$8:$AG$666666))</f>
        <v>0</v>
      </c>
      <c r="I36" s="56">
        <f t="shared" si="2"/>
        <v>0</v>
      </c>
      <c r="J36" s="56">
        <f>SUMPRODUCT((企贷明细!$M$8:$M$666666=A36)*(企贷明细!$AH$8:$AH$666666))</f>
        <v>0</v>
      </c>
      <c r="K36" s="56">
        <f>SUMPRODUCT((个贷明细!$M$8:$M$666666=A36)*(个贷明细!$AI$8:$AI$666666))+SUMPRODUCT((企贷明细!$M$8:$M$666666=A36)*(企贷明细!$AI$8:$AI$666666))+SUMPRODUCT((企贷明细!$M$8:$M$666666=A36)*(企贷明细!$AK$8:$AK$666666))</f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ht="14.25" spans="1:23">
      <c r="A37" s="68" t="s">
        <v>249</v>
      </c>
      <c r="B37" s="56">
        <f>SUMPRODUCT((个贷明细!$M$8:$M$666666=A37)*(个贷明细!$Q$8:$Q$666666&gt;=设置!$E$23)*(个贷明细!$Q$8:$Q$666666&lt;=设置!$E$24)*(个贷明细!$N$8:$N$666666))+SUMPRODUCT((企贷明细!$M$8:$M$666666=A37)*(企贷明细!$Q$8:$Q$666666&gt;=设置!$E$23)*(企贷明细!$Q$8:$Q$666666&lt;=设置!$E$24)*(企贷明细!$N$8:$N$666666))</f>
        <v>0</v>
      </c>
      <c r="C37" s="56">
        <f>SUMPRODUCT((个贷明细!$M$8:$M$666666=A37)*(个贷明细!$Q$8:$Q$666666&lt;设置!$F$23)*(个贷明细!$R$8:$R$666666&gt;设置!$E$24)*(个贷明细!$T$8:$T$666666=0)*(个贷明细!$N$8:$N$666666))+SUMPRODUCT((个贷明细!$M$8:$M$666666=A37)*(个贷明细!$Q$8:$Q$666666&lt;设置!$F$23)*(个贷明细!$R$8:$R$666666&gt;设置!$E$24)*(个贷明细!$T$8:$T$666666&gt;设置!$E$24)*(个贷明细!$N$8:$N$666666))+SUMPRODUCT((企贷明细!$M$8:$M$666666=A37)*(企贷明细!$Q$8:$Q$666666&lt;设置!$F$23)*(企贷明细!$R$8:$R$666666&gt;设置!$E$24)*(企贷明细!$T$8:$T$666666=0)*(企贷明细!$N$8:$N$666666))+SUMPRODUCT((企贷明细!$M$8:$M$666666=A37)*(企贷明细!$Q$8:$Q$666666&lt;设置!$F$23)*(企贷明细!$R$8:$R$666666&gt;设置!$E$24)*(企贷明细!$T$8:$T$666666&gt;设置!$E$24)*(企贷明细!$N$8:$N$666666))</f>
        <v>0</v>
      </c>
      <c r="D37" s="56">
        <f t="shared" si="0"/>
        <v>0</v>
      </c>
      <c r="E37" s="56">
        <f t="shared" si="1"/>
        <v>0</v>
      </c>
      <c r="F37" s="56">
        <f>SUMPRODUCT((个贷明细!$M$8:$M$666666=A37)*(个贷明细!$AE$8:$AE$666666))+SUMPRODUCT((企贷明细!$M$8:$M$666666=A37)*(企贷明细!$AE$8:$AE$666666))</f>
        <v>0</v>
      </c>
      <c r="G37" s="56">
        <f>SUMPRODUCT((个贷明细!$M$8:$M$666666=A37)*(个贷明细!$AF$8:$AF$666666))+SUMPRODUCT((企贷明细!$M$8:$M$666666=A37)*(企贷明细!$AF$8:$AF$666666))</f>
        <v>0</v>
      </c>
      <c r="H37" s="56">
        <f>SUMPRODUCT((个贷明细!$M$8:$M$666666=A37)*(个贷明细!$AG$8:$AG$666666))+SUMPRODUCT((企贷明细!$M$8:$M$666666=A37)*(企贷明细!$AG$8:$AG$666666))</f>
        <v>0</v>
      </c>
      <c r="I37" s="56">
        <f t="shared" si="2"/>
        <v>0</v>
      </c>
      <c r="J37" s="56">
        <f>SUMPRODUCT((企贷明细!$M$8:$M$666666=A37)*(企贷明细!$AH$8:$AH$666666))</f>
        <v>0</v>
      </c>
      <c r="K37" s="56">
        <f>SUMPRODUCT((个贷明细!$M$8:$M$666666=A37)*(个贷明细!$AI$8:$AI$666666))+SUMPRODUCT((企贷明细!$M$8:$M$666666=A37)*(企贷明细!$AI$8:$AI$666666))+SUMPRODUCT((企贷明细!$M$8:$M$666666=A37)*(企贷明细!$AK$8:$AK$666666))</f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ht="14.25" spans="1:23">
      <c r="A38" s="68" t="s">
        <v>250</v>
      </c>
      <c r="B38" s="56">
        <f>SUMPRODUCT((个贷明细!$M$8:$M$666666=A38)*(个贷明细!$Q$8:$Q$666666&gt;=设置!$E$23)*(个贷明细!$Q$8:$Q$666666&lt;=设置!$E$24)*(个贷明细!$N$8:$N$666666))+SUMPRODUCT((企贷明细!$M$8:$M$666666=A38)*(企贷明细!$Q$8:$Q$666666&gt;=设置!$E$23)*(企贷明细!$Q$8:$Q$666666&lt;=设置!$E$24)*(企贷明细!$N$8:$N$666666))</f>
        <v>0</v>
      </c>
      <c r="C38" s="56">
        <f>SUMPRODUCT((个贷明细!$M$8:$M$666666=A38)*(个贷明细!$Q$8:$Q$666666&lt;设置!$F$23)*(个贷明细!$R$8:$R$666666&gt;设置!$E$24)*(个贷明细!$T$8:$T$666666=0)*(个贷明细!$N$8:$N$666666))+SUMPRODUCT((个贷明细!$M$8:$M$666666=A38)*(个贷明细!$Q$8:$Q$666666&lt;设置!$F$23)*(个贷明细!$R$8:$R$666666&gt;设置!$E$24)*(个贷明细!$T$8:$T$666666&gt;设置!$E$24)*(个贷明细!$N$8:$N$666666))+SUMPRODUCT((企贷明细!$M$8:$M$666666=A38)*(企贷明细!$Q$8:$Q$666666&lt;设置!$F$23)*(企贷明细!$R$8:$R$666666&gt;设置!$E$24)*(企贷明细!$T$8:$T$666666=0)*(企贷明细!$N$8:$N$666666))+SUMPRODUCT((企贷明细!$M$8:$M$666666=A38)*(企贷明细!$Q$8:$Q$666666&lt;设置!$F$23)*(企贷明细!$R$8:$R$666666&gt;设置!$E$24)*(企贷明细!$T$8:$T$666666&gt;设置!$E$24)*(企贷明细!$N$8:$N$666666))</f>
        <v>0</v>
      </c>
      <c r="D38" s="56">
        <f t="shared" si="0"/>
        <v>0</v>
      </c>
      <c r="E38" s="56">
        <f t="shared" si="1"/>
        <v>0</v>
      </c>
      <c r="F38" s="56">
        <f>SUMPRODUCT((个贷明细!$M$8:$M$666666=A38)*(个贷明细!$AE$8:$AE$666666))+SUMPRODUCT((企贷明细!$M$8:$M$666666=A38)*(企贷明细!$AE$8:$AE$666666))</f>
        <v>0</v>
      </c>
      <c r="G38" s="56">
        <f>SUMPRODUCT((个贷明细!$M$8:$M$666666=A38)*(个贷明细!$AF$8:$AF$666666))+SUMPRODUCT((企贷明细!$M$8:$M$666666=A38)*(企贷明细!$AF$8:$AF$666666))</f>
        <v>0</v>
      </c>
      <c r="H38" s="56">
        <f>SUMPRODUCT((个贷明细!$M$8:$M$666666=A38)*(个贷明细!$AG$8:$AG$666666))+SUMPRODUCT((企贷明细!$M$8:$M$666666=A38)*(企贷明细!$AG$8:$AG$666666))</f>
        <v>0</v>
      </c>
      <c r="I38" s="56">
        <f t="shared" si="2"/>
        <v>0</v>
      </c>
      <c r="J38" s="56">
        <f>SUMPRODUCT((企贷明细!$M$8:$M$666666=A38)*(企贷明细!$AH$8:$AH$666666))</f>
        <v>0</v>
      </c>
      <c r="K38" s="56">
        <f>SUMPRODUCT((个贷明细!$M$8:$M$666666=A38)*(个贷明细!$AI$8:$AI$666666))+SUMPRODUCT((企贷明细!$M$8:$M$666666=A38)*(企贷明细!$AI$8:$AI$666666))+SUMPRODUCT((企贷明细!$M$8:$M$666666=A38)*(企贷明细!$AK$8:$AK$666666))</f>
        <v>0</v>
      </c>
      <c r="L38"/>
      <c r="M38"/>
      <c r="N38"/>
      <c r="O38"/>
      <c r="P38"/>
      <c r="Q38"/>
      <c r="R38"/>
      <c r="S38"/>
      <c r="T38"/>
      <c r="U38"/>
      <c r="V38"/>
      <c r="W38"/>
    </row>
    <row r="39" ht="14.25" spans="1:23">
      <c r="A39" s="68" t="s">
        <v>251</v>
      </c>
      <c r="B39" s="56">
        <f>SUMPRODUCT((个贷明细!$M$8:$M$666666=A39)*(个贷明细!$Q$8:$Q$666666&gt;=设置!$E$23)*(个贷明细!$Q$8:$Q$666666&lt;=设置!$E$24)*(个贷明细!$N$8:$N$666666))+SUMPRODUCT((企贷明细!$M$8:$M$666666=A39)*(企贷明细!$Q$8:$Q$666666&gt;=设置!$E$23)*(企贷明细!$Q$8:$Q$666666&lt;=设置!$E$24)*(企贷明细!$N$8:$N$666666))</f>
        <v>0</v>
      </c>
      <c r="C39" s="56">
        <f>SUMPRODUCT((个贷明细!$M$8:$M$666666=A39)*(个贷明细!$Q$8:$Q$666666&lt;设置!$F$23)*(个贷明细!$R$8:$R$666666&gt;设置!$E$24)*(个贷明细!$T$8:$T$666666=0)*(个贷明细!$N$8:$N$666666))+SUMPRODUCT((个贷明细!$M$8:$M$666666=A39)*(个贷明细!$Q$8:$Q$666666&lt;设置!$F$23)*(个贷明细!$R$8:$R$666666&gt;设置!$E$24)*(个贷明细!$T$8:$T$666666&gt;设置!$E$24)*(个贷明细!$N$8:$N$666666))+SUMPRODUCT((企贷明细!$M$8:$M$666666=A39)*(企贷明细!$Q$8:$Q$666666&lt;设置!$F$23)*(企贷明细!$R$8:$R$666666&gt;设置!$E$24)*(企贷明细!$T$8:$T$666666=0)*(企贷明细!$N$8:$N$666666))+SUMPRODUCT((企贷明细!$M$8:$M$666666=A39)*(企贷明细!$Q$8:$Q$666666&lt;设置!$F$23)*(企贷明细!$R$8:$R$666666&gt;设置!$E$24)*(企贷明细!$T$8:$T$666666&gt;设置!$E$24)*(企贷明细!$N$8:$N$666666))</f>
        <v>0</v>
      </c>
      <c r="D39" s="56">
        <f t="shared" si="0"/>
        <v>0</v>
      </c>
      <c r="E39" s="56">
        <f t="shared" si="1"/>
        <v>0</v>
      </c>
      <c r="F39" s="56">
        <f>SUMPRODUCT((个贷明细!$M$8:$M$666666=A39)*(个贷明细!$AE$8:$AE$666666))+SUMPRODUCT((企贷明细!$M$8:$M$666666=A39)*(企贷明细!$AE$8:$AE$666666))</f>
        <v>0</v>
      </c>
      <c r="G39" s="56">
        <f>SUMPRODUCT((个贷明细!$M$8:$M$666666=A39)*(个贷明细!$AF$8:$AF$666666))+SUMPRODUCT((企贷明细!$M$8:$M$666666=A39)*(企贷明细!$AF$8:$AF$666666))</f>
        <v>0</v>
      </c>
      <c r="H39" s="56">
        <f>SUMPRODUCT((个贷明细!$M$8:$M$666666=A39)*(个贷明细!$AG$8:$AG$666666))+SUMPRODUCT((企贷明细!$M$8:$M$666666=A39)*(企贷明细!$AG$8:$AG$666666))</f>
        <v>0</v>
      </c>
      <c r="I39" s="56">
        <f t="shared" si="2"/>
        <v>0</v>
      </c>
      <c r="J39" s="56">
        <f>SUMPRODUCT((企贷明细!$M$8:$M$666666=A39)*(企贷明细!$AH$8:$AH$666666))</f>
        <v>0</v>
      </c>
      <c r="K39" s="56">
        <f>SUMPRODUCT((个贷明细!$M$8:$M$666666=A39)*(个贷明细!$AI$8:$AI$666666))+SUMPRODUCT((企贷明细!$M$8:$M$666666=A39)*(企贷明细!$AI$8:$AI$666666))+SUMPRODUCT((企贷明细!$M$8:$M$666666=A39)*(企贷明细!$AK$8:$AK$666666))</f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ht="14.25" spans="1:23">
      <c r="A40" s="68" t="s">
        <v>252</v>
      </c>
      <c r="B40" s="56">
        <f>SUMPRODUCT((个贷明细!$M$8:$M$666666=A40)*(个贷明细!$Q$8:$Q$666666&gt;=设置!$E$23)*(个贷明细!$Q$8:$Q$666666&lt;=设置!$E$24)*(个贷明细!$N$8:$N$666666))+SUMPRODUCT((企贷明细!$M$8:$M$666666=A40)*(企贷明细!$Q$8:$Q$666666&gt;=设置!$E$23)*(企贷明细!$Q$8:$Q$666666&lt;=设置!$E$24)*(企贷明细!$N$8:$N$666666))</f>
        <v>0</v>
      </c>
      <c r="C40" s="56">
        <f>SUMPRODUCT((个贷明细!$M$8:$M$666666=A40)*(个贷明细!$Q$8:$Q$666666&lt;设置!$F$23)*(个贷明细!$R$8:$R$666666&gt;设置!$E$24)*(个贷明细!$T$8:$T$666666=0)*(个贷明细!$N$8:$N$666666))+SUMPRODUCT((个贷明细!$M$8:$M$666666=A40)*(个贷明细!$Q$8:$Q$666666&lt;设置!$F$23)*(个贷明细!$R$8:$R$666666&gt;设置!$E$24)*(个贷明细!$T$8:$T$666666&gt;设置!$E$24)*(个贷明细!$N$8:$N$666666))+SUMPRODUCT((企贷明细!$M$8:$M$666666=A40)*(企贷明细!$Q$8:$Q$666666&lt;设置!$F$23)*(企贷明细!$R$8:$R$666666&gt;设置!$E$24)*(企贷明细!$T$8:$T$666666=0)*(企贷明细!$N$8:$N$666666))+SUMPRODUCT((企贷明细!$M$8:$M$666666=A40)*(企贷明细!$Q$8:$Q$666666&lt;设置!$F$23)*(企贷明细!$R$8:$R$666666&gt;设置!$E$24)*(企贷明细!$T$8:$T$666666&gt;设置!$E$24)*(企贷明细!$N$8:$N$666666))</f>
        <v>0</v>
      </c>
      <c r="D40" s="56">
        <f t="shared" si="0"/>
        <v>0</v>
      </c>
      <c r="E40" s="56">
        <f t="shared" si="1"/>
        <v>0</v>
      </c>
      <c r="F40" s="56">
        <f>SUMPRODUCT((个贷明细!$M$8:$M$666666=A40)*(个贷明细!$AE$8:$AE$666666))+SUMPRODUCT((企贷明细!$M$8:$M$666666=A40)*(企贷明细!$AE$8:$AE$666666))</f>
        <v>0</v>
      </c>
      <c r="G40" s="56">
        <f>SUMPRODUCT((个贷明细!$M$8:$M$666666=A40)*(个贷明细!$AF$8:$AF$666666))+SUMPRODUCT((企贷明细!$M$8:$M$666666=A40)*(企贷明细!$AF$8:$AF$666666))</f>
        <v>0</v>
      </c>
      <c r="H40" s="56">
        <f>SUMPRODUCT((个贷明细!$M$8:$M$666666=A40)*(个贷明细!$AG$8:$AG$666666))+SUMPRODUCT((企贷明细!$M$8:$M$666666=A40)*(企贷明细!$AG$8:$AG$666666))</f>
        <v>0</v>
      </c>
      <c r="I40" s="56">
        <f t="shared" si="2"/>
        <v>0</v>
      </c>
      <c r="J40" s="56">
        <f>SUMPRODUCT((企贷明细!$M$8:$M$666666=A40)*(企贷明细!$AH$8:$AH$666666))</f>
        <v>0</v>
      </c>
      <c r="K40" s="56">
        <f>SUMPRODUCT((个贷明细!$M$8:$M$666666=A40)*(个贷明细!$AI$8:$AI$666666))+SUMPRODUCT((企贷明细!$M$8:$M$666666=A40)*(企贷明细!$AI$8:$AI$666666))+SUMPRODUCT((企贷明细!$M$8:$M$666666=A40)*(企贷明细!$AK$8:$AK$666666))</f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ht="14.25" spans="1:23">
      <c r="A41" s="68" t="s">
        <v>253</v>
      </c>
      <c r="B41" s="56">
        <f>SUMPRODUCT((个贷明细!$M$8:$M$666666=A41)*(个贷明细!$Q$8:$Q$666666&gt;=设置!$E$23)*(个贷明细!$Q$8:$Q$666666&lt;=设置!$E$24)*(个贷明细!$N$8:$N$666666))+SUMPRODUCT((企贷明细!$M$8:$M$666666=A41)*(企贷明细!$Q$8:$Q$666666&gt;=设置!$E$23)*(企贷明细!$Q$8:$Q$666666&lt;=设置!$E$24)*(企贷明细!$N$8:$N$666666))</f>
        <v>0</v>
      </c>
      <c r="C41" s="56">
        <f>SUMPRODUCT((个贷明细!$M$8:$M$666666=A41)*(个贷明细!$Q$8:$Q$666666&lt;设置!$F$23)*(个贷明细!$R$8:$R$666666&gt;设置!$E$24)*(个贷明细!$T$8:$T$666666=0)*(个贷明细!$N$8:$N$666666))+SUMPRODUCT((个贷明细!$M$8:$M$666666=A41)*(个贷明细!$Q$8:$Q$666666&lt;设置!$F$23)*(个贷明细!$R$8:$R$666666&gt;设置!$E$24)*(个贷明细!$T$8:$T$666666&gt;设置!$E$24)*(个贷明细!$N$8:$N$666666))+SUMPRODUCT((企贷明细!$M$8:$M$666666=A41)*(企贷明细!$Q$8:$Q$666666&lt;设置!$F$23)*(企贷明细!$R$8:$R$666666&gt;设置!$E$24)*(企贷明细!$T$8:$T$666666=0)*(企贷明细!$N$8:$N$666666))+SUMPRODUCT((企贷明细!$M$8:$M$666666=A41)*(企贷明细!$Q$8:$Q$666666&lt;设置!$F$23)*(企贷明细!$R$8:$R$666666&gt;设置!$E$24)*(企贷明细!$T$8:$T$666666&gt;设置!$E$24)*(企贷明细!$N$8:$N$666666))</f>
        <v>0</v>
      </c>
      <c r="D41" s="56">
        <f t="shared" si="0"/>
        <v>0</v>
      </c>
      <c r="E41" s="56">
        <f t="shared" si="1"/>
        <v>0</v>
      </c>
      <c r="F41" s="56">
        <f>SUMPRODUCT((个贷明细!$M$8:$M$666666=A41)*(个贷明细!$AE$8:$AE$666666))+SUMPRODUCT((企贷明细!$M$8:$M$666666=A41)*(企贷明细!$AE$8:$AE$666666))</f>
        <v>0</v>
      </c>
      <c r="G41" s="56">
        <f>SUMPRODUCT((个贷明细!$M$8:$M$666666=A41)*(个贷明细!$AF$8:$AF$666666))+SUMPRODUCT((企贷明细!$M$8:$M$666666=A41)*(企贷明细!$AF$8:$AF$666666))</f>
        <v>0</v>
      </c>
      <c r="H41" s="56">
        <f>SUMPRODUCT((个贷明细!$M$8:$M$666666=A41)*(个贷明细!$AG$8:$AG$666666))+SUMPRODUCT((企贷明细!$M$8:$M$666666=A41)*(企贷明细!$AG$8:$AG$666666))</f>
        <v>0</v>
      </c>
      <c r="I41" s="56">
        <f t="shared" si="2"/>
        <v>0</v>
      </c>
      <c r="J41" s="56">
        <f>SUMPRODUCT((企贷明细!$M$8:$M$666666=A41)*(企贷明细!$AH$8:$AH$666666))</f>
        <v>0</v>
      </c>
      <c r="K41" s="56">
        <f>SUMPRODUCT((个贷明细!$M$8:$M$666666=A41)*(个贷明细!$AI$8:$AI$666666))+SUMPRODUCT((企贷明细!$M$8:$M$666666=A41)*(企贷明细!$AI$8:$AI$666666))+SUMPRODUCT((企贷明细!$M$8:$M$666666=A41)*(企贷明细!$AK$8:$AK$666666))</f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ht="14.25" spans="1:23">
      <c r="A42" s="68" t="s">
        <v>254</v>
      </c>
      <c r="B42" s="56">
        <f>SUMPRODUCT((个贷明细!$M$8:$M$666666=A42)*(个贷明细!$Q$8:$Q$666666&gt;=设置!$E$23)*(个贷明细!$Q$8:$Q$666666&lt;=设置!$E$24)*(个贷明细!$N$8:$N$666666))+SUMPRODUCT((企贷明细!$M$8:$M$666666=A42)*(企贷明细!$Q$8:$Q$666666&gt;=设置!$E$23)*(企贷明细!$Q$8:$Q$666666&lt;=设置!$E$24)*(企贷明细!$N$8:$N$666666))</f>
        <v>0</v>
      </c>
      <c r="C42" s="56">
        <f>SUMPRODUCT((个贷明细!$M$8:$M$666666=A42)*(个贷明细!$Q$8:$Q$666666&lt;设置!$F$23)*(个贷明细!$R$8:$R$666666&gt;设置!$E$24)*(个贷明细!$T$8:$T$666666=0)*(个贷明细!$N$8:$N$666666))+SUMPRODUCT((个贷明细!$M$8:$M$666666=A42)*(个贷明细!$Q$8:$Q$666666&lt;设置!$F$23)*(个贷明细!$R$8:$R$666666&gt;设置!$E$24)*(个贷明细!$T$8:$T$666666&gt;设置!$E$24)*(个贷明细!$N$8:$N$666666))+SUMPRODUCT((企贷明细!$M$8:$M$666666=A42)*(企贷明细!$Q$8:$Q$666666&lt;设置!$F$23)*(企贷明细!$R$8:$R$666666&gt;设置!$E$24)*(企贷明细!$T$8:$T$666666=0)*(企贷明细!$N$8:$N$666666))+SUMPRODUCT((企贷明细!$M$8:$M$666666=A42)*(企贷明细!$Q$8:$Q$666666&lt;设置!$F$23)*(企贷明细!$R$8:$R$666666&gt;设置!$E$24)*(企贷明细!$T$8:$T$666666&gt;设置!$E$24)*(企贷明细!$N$8:$N$666666))</f>
        <v>0</v>
      </c>
      <c r="D42" s="56">
        <f t="shared" si="0"/>
        <v>0</v>
      </c>
      <c r="E42" s="56">
        <f t="shared" si="1"/>
        <v>0</v>
      </c>
      <c r="F42" s="56">
        <f>SUMPRODUCT((个贷明细!$M$8:$M$666666=A42)*(个贷明细!$AE$8:$AE$666666))+SUMPRODUCT((企贷明细!$M$8:$M$666666=A42)*(企贷明细!$AE$8:$AE$666666))</f>
        <v>0</v>
      </c>
      <c r="G42" s="56">
        <f>SUMPRODUCT((个贷明细!$M$8:$M$666666=A42)*(个贷明细!$AF$8:$AF$666666))+SUMPRODUCT((企贷明细!$M$8:$M$666666=A42)*(企贷明细!$AF$8:$AF$666666))</f>
        <v>0</v>
      </c>
      <c r="H42" s="56">
        <f>SUMPRODUCT((个贷明细!$M$8:$M$666666=A42)*(个贷明细!$AG$8:$AG$666666))+SUMPRODUCT((企贷明细!$M$8:$M$666666=A42)*(企贷明细!$AG$8:$AG$666666))</f>
        <v>0</v>
      </c>
      <c r="I42" s="56">
        <f t="shared" si="2"/>
        <v>0</v>
      </c>
      <c r="J42" s="56">
        <f>SUMPRODUCT((企贷明细!$M$8:$M$666666=A42)*(企贷明细!$AH$8:$AH$666666))</f>
        <v>0</v>
      </c>
      <c r="K42" s="56">
        <f>SUMPRODUCT((个贷明细!$M$8:$M$666666=A42)*(个贷明细!$AI$8:$AI$666666))+SUMPRODUCT((企贷明细!$M$8:$M$666666=A42)*(企贷明细!$AI$8:$AI$666666))+SUMPRODUCT((企贷明细!$M$8:$M$666666=A42)*(企贷明细!$AK$8:$AK$666666))</f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ht="14.25" spans="1:23">
      <c r="A43" s="68" t="s">
        <v>255</v>
      </c>
      <c r="B43" s="56">
        <f>SUMPRODUCT((个贷明细!$M$8:$M$666666=A43)*(个贷明细!$Q$8:$Q$666666&gt;=设置!$E$23)*(个贷明细!$Q$8:$Q$666666&lt;=设置!$E$24)*(个贷明细!$N$8:$N$666666))+SUMPRODUCT((企贷明细!$M$8:$M$666666=A43)*(企贷明细!$Q$8:$Q$666666&gt;=设置!$E$23)*(企贷明细!$Q$8:$Q$666666&lt;=设置!$E$24)*(企贷明细!$N$8:$N$666666))</f>
        <v>0</v>
      </c>
      <c r="C43" s="56">
        <f>SUMPRODUCT((个贷明细!$M$8:$M$666666=A43)*(个贷明细!$Q$8:$Q$666666&lt;设置!$F$23)*(个贷明细!$R$8:$R$666666&gt;设置!$E$24)*(个贷明细!$T$8:$T$666666=0)*(个贷明细!$N$8:$N$666666))+SUMPRODUCT((个贷明细!$M$8:$M$666666=A43)*(个贷明细!$Q$8:$Q$666666&lt;设置!$F$23)*(个贷明细!$R$8:$R$666666&gt;设置!$E$24)*(个贷明细!$T$8:$T$666666&gt;设置!$E$24)*(个贷明细!$N$8:$N$666666))+SUMPRODUCT((企贷明细!$M$8:$M$666666=A43)*(企贷明细!$Q$8:$Q$666666&lt;设置!$F$23)*(企贷明细!$R$8:$R$666666&gt;设置!$E$24)*(企贷明细!$T$8:$T$666666=0)*(企贷明细!$N$8:$N$666666))+SUMPRODUCT((企贷明细!$M$8:$M$666666=A43)*(企贷明细!$Q$8:$Q$666666&lt;设置!$F$23)*(企贷明细!$R$8:$R$666666&gt;设置!$E$24)*(企贷明细!$T$8:$T$666666&gt;设置!$E$24)*(企贷明细!$N$8:$N$666666))</f>
        <v>0</v>
      </c>
      <c r="D43" s="56">
        <f t="shared" si="0"/>
        <v>0</v>
      </c>
      <c r="E43" s="56">
        <f t="shared" si="1"/>
        <v>0</v>
      </c>
      <c r="F43" s="56">
        <f>SUMPRODUCT((个贷明细!$M$8:$M$666666=A43)*(个贷明细!$AE$8:$AE$666666))+SUMPRODUCT((企贷明细!$M$8:$M$666666=A43)*(企贷明细!$AE$8:$AE$666666))</f>
        <v>0</v>
      </c>
      <c r="G43" s="56">
        <f>SUMPRODUCT((个贷明细!$M$8:$M$666666=A43)*(个贷明细!$AF$8:$AF$666666))+SUMPRODUCT((企贷明细!$M$8:$M$666666=A43)*(企贷明细!$AF$8:$AF$666666))</f>
        <v>0</v>
      </c>
      <c r="H43" s="56">
        <f>SUMPRODUCT((个贷明细!$M$8:$M$666666=A43)*(个贷明细!$AG$8:$AG$666666))+SUMPRODUCT((企贷明细!$M$8:$M$666666=A43)*(企贷明细!$AG$8:$AG$666666))</f>
        <v>0</v>
      </c>
      <c r="I43" s="56">
        <f t="shared" si="2"/>
        <v>0</v>
      </c>
      <c r="J43" s="56">
        <f>SUMPRODUCT((企贷明细!$M$8:$M$666666=A43)*(企贷明细!$AH$8:$AH$666666))</f>
        <v>0</v>
      </c>
      <c r="K43" s="56">
        <f>SUMPRODUCT((个贷明细!$M$8:$M$666666=A43)*(个贷明细!$AI$8:$AI$666666))+SUMPRODUCT((企贷明细!$M$8:$M$666666=A43)*(企贷明细!$AI$8:$AI$666666))+SUMPRODUCT((企贷明细!$M$8:$M$666666=A43)*(企贷明细!$AK$8:$AK$666666))</f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ht="14.25" spans="1:23">
      <c r="A44" s="68" t="s">
        <v>256</v>
      </c>
      <c r="B44" s="56">
        <f>SUMPRODUCT((个贷明细!$M$8:$M$666666=A44)*(个贷明细!$Q$8:$Q$666666&gt;=设置!$E$23)*(个贷明细!$Q$8:$Q$666666&lt;=设置!$E$24)*(个贷明细!$N$8:$N$666666))+SUMPRODUCT((企贷明细!$M$8:$M$666666=A44)*(企贷明细!$Q$8:$Q$666666&gt;=设置!$E$23)*(企贷明细!$Q$8:$Q$666666&lt;=设置!$E$24)*(企贷明细!$N$8:$N$666666))</f>
        <v>0</v>
      </c>
      <c r="C44" s="56">
        <f>SUMPRODUCT((个贷明细!$M$8:$M$666666=A44)*(个贷明细!$Q$8:$Q$666666&lt;设置!$F$23)*(个贷明细!$R$8:$R$666666&gt;设置!$E$24)*(个贷明细!$T$8:$T$666666=0)*(个贷明细!$N$8:$N$666666))+SUMPRODUCT((个贷明细!$M$8:$M$666666=A44)*(个贷明细!$Q$8:$Q$666666&lt;设置!$F$23)*(个贷明细!$R$8:$R$666666&gt;设置!$E$24)*(个贷明细!$T$8:$T$666666&gt;设置!$E$24)*(个贷明细!$N$8:$N$666666))+SUMPRODUCT((企贷明细!$M$8:$M$666666=A44)*(企贷明细!$Q$8:$Q$666666&lt;设置!$F$23)*(企贷明细!$R$8:$R$666666&gt;设置!$E$24)*(企贷明细!$T$8:$T$666666=0)*(企贷明细!$N$8:$N$666666))+SUMPRODUCT((企贷明细!$M$8:$M$666666=A44)*(企贷明细!$Q$8:$Q$666666&lt;设置!$F$23)*(企贷明细!$R$8:$R$666666&gt;设置!$E$24)*(企贷明细!$T$8:$T$666666&gt;设置!$E$24)*(企贷明细!$N$8:$N$666666))</f>
        <v>0</v>
      </c>
      <c r="D44" s="56">
        <f t="shared" si="0"/>
        <v>0</v>
      </c>
      <c r="E44" s="56">
        <f t="shared" si="1"/>
        <v>0</v>
      </c>
      <c r="F44" s="56">
        <f>SUMPRODUCT((个贷明细!$M$8:$M$666666=A44)*(个贷明细!$AE$8:$AE$666666))+SUMPRODUCT((企贷明细!$M$8:$M$666666=A44)*(企贷明细!$AE$8:$AE$666666))</f>
        <v>0</v>
      </c>
      <c r="G44" s="56">
        <f>SUMPRODUCT((个贷明细!$M$8:$M$666666=A44)*(个贷明细!$AF$8:$AF$666666))+SUMPRODUCT((企贷明细!$M$8:$M$666666=A44)*(企贷明细!$AF$8:$AF$666666))</f>
        <v>0</v>
      </c>
      <c r="H44" s="56">
        <f>SUMPRODUCT((个贷明细!$M$8:$M$666666=A44)*(个贷明细!$AG$8:$AG$666666))+SUMPRODUCT((企贷明细!$M$8:$M$666666=A44)*(企贷明细!$AG$8:$AG$666666))</f>
        <v>0</v>
      </c>
      <c r="I44" s="56">
        <f t="shared" si="2"/>
        <v>0</v>
      </c>
      <c r="J44" s="56">
        <f>SUMPRODUCT((企贷明细!$M$8:$M$666666=A44)*(企贷明细!$AH$8:$AH$666666))</f>
        <v>0</v>
      </c>
      <c r="K44" s="56">
        <f>SUMPRODUCT((个贷明细!$M$8:$M$666666=A44)*(个贷明细!$AI$8:$AI$666666))+SUMPRODUCT((企贷明细!$M$8:$M$666666=A44)*(企贷明细!$AI$8:$AI$666666))+SUMPRODUCT((企贷明细!$M$8:$M$666666=A44)*(企贷明细!$AK$8:$AK$666666))</f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ht="14.25" spans="1:23">
      <c r="A45" s="68" t="s">
        <v>257</v>
      </c>
      <c r="B45" s="56">
        <f>SUMPRODUCT((个贷明细!$M$8:$M$666666=A45)*(个贷明细!$Q$8:$Q$666666&gt;=设置!$E$23)*(个贷明细!$Q$8:$Q$666666&lt;=设置!$E$24)*(个贷明细!$N$8:$N$666666))+SUMPRODUCT((企贷明细!$M$8:$M$666666=A45)*(企贷明细!$Q$8:$Q$666666&gt;=设置!$E$23)*(企贷明细!$Q$8:$Q$666666&lt;=设置!$E$24)*(企贷明细!$N$8:$N$666666))</f>
        <v>0</v>
      </c>
      <c r="C45" s="56">
        <f>SUMPRODUCT((个贷明细!$M$8:$M$666666=A45)*(个贷明细!$Q$8:$Q$666666&lt;设置!$F$23)*(个贷明细!$R$8:$R$666666&gt;设置!$E$24)*(个贷明细!$T$8:$T$666666=0)*(个贷明细!$N$8:$N$666666))+SUMPRODUCT((个贷明细!$M$8:$M$666666=A45)*(个贷明细!$Q$8:$Q$666666&lt;设置!$F$23)*(个贷明细!$R$8:$R$666666&gt;设置!$E$24)*(个贷明细!$T$8:$T$666666&gt;设置!$E$24)*(个贷明细!$N$8:$N$666666))+SUMPRODUCT((企贷明细!$M$8:$M$666666=A45)*(企贷明细!$Q$8:$Q$666666&lt;设置!$F$23)*(企贷明细!$R$8:$R$666666&gt;设置!$E$24)*(企贷明细!$T$8:$T$666666=0)*(企贷明细!$N$8:$N$666666))+SUMPRODUCT((企贷明细!$M$8:$M$666666=A45)*(企贷明细!$Q$8:$Q$666666&lt;设置!$F$23)*(企贷明细!$R$8:$R$666666&gt;设置!$E$24)*(企贷明细!$T$8:$T$666666&gt;设置!$E$24)*(企贷明细!$N$8:$N$666666))</f>
        <v>0</v>
      </c>
      <c r="D45" s="56">
        <f t="shared" si="0"/>
        <v>0</v>
      </c>
      <c r="E45" s="56">
        <f t="shared" si="1"/>
        <v>0</v>
      </c>
      <c r="F45" s="56">
        <f>SUMPRODUCT((个贷明细!$M$8:$M$666666=A45)*(个贷明细!$AE$8:$AE$666666))+SUMPRODUCT((企贷明细!$M$8:$M$666666=A45)*(企贷明细!$AE$8:$AE$666666))</f>
        <v>0</v>
      </c>
      <c r="G45" s="56">
        <f>SUMPRODUCT((个贷明细!$M$8:$M$666666=A45)*(个贷明细!$AF$8:$AF$666666))+SUMPRODUCT((企贷明细!$M$8:$M$666666=A45)*(企贷明细!$AF$8:$AF$666666))</f>
        <v>0</v>
      </c>
      <c r="H45" s="56">
        <f>SUMPRODUCT((个贷明细!$M$8:$M$666666=A45)*(个贷明细!$AG$8:$AG$666666))+SUMPRODUCT((企贷明细!$M$8:$M$666666=A45)*(企贷明细!$AG$8:$AG$666666))</f>
        <v>0</v>
      </c>
      <c r="I45" s="56">
        <f t="shared" si="2"/>
        <v>0</v>
      </c>
      <c r="J45" s="56">
        <f>SUMPRODUCT((企贷明细!$M$8:$M$666666=A45)*(企贷明细!$AH$8:$AH$666666))</f>
        <v>0</v>
      </c>
      <c r="K45" s="56">
        <f>SUMPRODUCT((个贷明细!$M$8:$M$666666=A45)*(个贷明细!$AI$8:$AI$666666))+SUMPRODUCT((企贷明细!$M$8:$M$666666=A45)*(企贷明细!$AI$8:$AI$666666))+SUMPRODUCT((企贷明细!$M$8:$M$666666=A45)*(企贷明细!$AK$8:$AK$666666))</f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ht="14.25" spans="1:23">
      <c r="A46" s="68" t="s">
        <v>258</v>
      </c>
      <c r="B46" s="56">
        <f>SUMPRODUCT((个贷明细!$M$8:$M$666666=A46)*(个贷明细!$Q$8:$Q$666666&gt;=设置!$E$23)*(个贷明细!$Q$8:$Q$666666&lt;=设置!$E$24)*(个贷明细!$N$8:$N$666666))+SUMPRODUCT((企贷明细!$M$8:$M$666666=A46)*(企贷明细!$Q$8:$Q$666666&gt;=设置!$E$23)*(企贷明细!$Q$8:$Q$666666&lt;=设置!$E$24)*(企贷明细!$N$8:$N$666666))</f>
        <v>0</v>
      </c>
      <c r="C46" s="56">
        <f>SUMPRODUCT((个贷明细!$M$8:$M$666666=A46)*(个贷明细!$Q$8:$Q$666666&lt;设置!$F$23)*(个贷明细!$R$8:$R$666666&gt;设置!$E$24)*(个贷明细!$T$8:$T$666666=0)*(个贷明细!$N$8:$N$666666))+SUMPRODUCT((个贷明细!$M$8:$M$666666=A46)*(个贷明细!$Q$8:$Q$666666&lt;设置!$F$23)*(个贷明细!$R$8:$R$666666&gt;设置!$E$24)*(个贷明细!$T$8:$T$666666&gt;设置!$E$24)*(个贷明细!$N$8:$N$666666))+SUMPRODUCT((企贷明细!$M$8:$M$666666=A46)*(企贷明细!$Q$8:$Q$666666&lt;设置!$F$23)*(企贷明细!$R$8:$R$666666&gt;设置!$E$24)*(企贷明细!$T$8:$T$666666=0)*(企贷明细!$N$8:$N$666666))+SUMPRODUCT((企贷明细!$M$8:$M$666666=A46)*(企贷明细!$Q$8:$Q$666666&lt;设置!$F$23)*(企贷明细!$R$8:$R$666666&gt;设置!$E$24)*(企贷明细!$T$8:$T$666666&gt;设置!$E$24)*(企贷明细!$N$8:$N$666666))</f>
        <v>0</v>
      </c>
      <c r="D46" s="56">
        <f t="shared" si="0"/>
        <v>0</v>
      </c>
      <c r="E46" s="56">
        <f t="shared" si="1"/>
        <v>0</v>
      </c>
      <c r="F46" s="56">
        <f>SUMPRODUCT((个贷明细!$M$8:$M$666666=A46)*(个贷明细!$AE$8:$AE$666666))+SUMPRODUCT((企贷明细!$M$8:$M$666666=A46)*(企贷明细!$AE$8:$AE$666666))</f>
        <v>0</v>
      </c>
      <c r="G46" s="56">
        <f>SUMPRODUCT((个贷明细!$M$8:$M$666666=A46)*(个贷明细!$AF$8:$AF$666666))+SUMPRODUCT((企贷明细!$M$8:$M$666666=A46)*(企贷明细!$AF$8:$AF$666666))</f>
        <v>0</v>
      </c>
      <c r="H46" s="56">
        <f>SUMPRODUCT((个贷明细!$M$8:$M$666666=A46)*(个贷明细!$AG$8:$AG$666666))+SUMPRODUCT((企贷明细!$M$8:$M$666666=A46)*(企贷明细!$AG$8:$AG$666666))</f>
        <v>0</v>
      </c>
      <c r="I46" s="56">
        <f t="shared" si="2"/>
        <v>0</v>
      </c>
      <c r="J46" s="56">
        <f>SUMPRODUCT((企贷明细!$M$8:$M$666666=A46)*(企贷明细!$AH$8:$AH$666666))</f>
        <v>0</v>
      </c>
      <c r="K46" s="56">
        <f>SUMPRODUCT((个贷明细!$M$8:$M$666666=A46)*(个贷明细!$AI$8:$AI$666666))+SUMPRODUCT((企贷明细!$M$8:$M$666666=A46)*(企贷明细!$AI$8:$AI$666666))+SUMPRODUCT((企贷明细!$M$8:$M$666666=A46)*(企贷明细!$AK$8:$AK$666666))</f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ht="14.25" spans="1:23">
      <c r="A47" s="68" t="s">
        <v>259</v>
      </c>
      <c r="B47" s="56">
        <f>SUMPRODUCT((个贷明细!$M$8:$M$666666=A47)*(个贷明细!$Q$8:$Q$666666&gt;=设置!$E$23)*(个贷明细!$Q$8:$Q$666666&lt;=设置!$E$24)*(个贷明细!$N$8:$N$666666))+SUMPRODUCT((企贷明细!$M$8:$M$666666=A47)*(企贷明细!$Q$8:$Q$666666&gt;=设置!$E$23)*(企贷明细!$Q$8:$Q$666666&lt;=设置!$E$24)*(企贷明细!$N$8:$N$666666))</f>
        <v>0</v>
      </c>
      <c r="C47" s="56">
        <f>SUMPRODUCT((个贷明细!$M$8:$M$666666=A47)*(个贷明细!$Q$8:$Q$666666&lt;设置!$F$23)*(个贷明细!$R$8:$R$666666&gt;设置!$E$24)*(个贷明细!$T$8:$T$666666=0)*(个贷明细!$N$8:$N$666666))+SUMPRODUCT((个贷明细!$M$8:$M$666666=A47)*(个贷明细!$Q$8:$Q$666666&lt;设置!$F$23)*(个贷明细!$R$8:$R$666666&gt;设置!$E$24)*(个贷明细!$T$8:$T$666666&gt;设置!$E$24)*(个贷明细!$N$8:$N$666666))+SUMPRODUCT((企贷明细!$M$8:$M$666666=A47)*(企贷明细!$Q$8:$Q$666666&lt;设置!$F$23)*(企贷明细!$R$8:$R$666666&gt;设置!$E$24)*(企贷明细!$T$8:$T$666666=0)*(企贷明细!$N$8:$N$666666))+SUMPRODUCT((企贷明细!$M$8:$M$666666=A47)*(企贷明细!$Q$8:$Q$666666&lt;设置!$F$23)*(企贷明细!$R$8:$R$666666&gt;设置!$E$24)*(企贷明细!$T$8:$T$666666&gt;设置!$E$24)*(企贷明细!$N$8:$N$666666))</f>
        <v>0</v>
      </c>
      <c r="D47" s="56">
        <f t="shared" si="0"/>
        <v>0</v>
      </c>
      <c r="E47" s="56">
        <f t="shared" si="1"/>
        <v>0</v>
      </c>
      <c r="F47" s="56">
        <f>SUMPRODUCT((个贷明细!$M$8:$M$666666=A47)*(个贷明细!$AE$8:$AE$666666))+SUMPRODUCT((企贷明细!$M$8:$M$666666=A47)*(企贷明细!$AE$8:$AE$666666))</f>
        <v>0</v>
      </c>
      <c r="G47" s="56">
        <f>SUMPRODUCT((个贷明细!$M$8:$M$666666=A47)*(个贷明细!$AF$8:$AF$666666))+SUMPRODUCT((企贷明细!$M$8:$M$666666=A47)*(企贷明细!$AF$8:$AF$666666))</f>
        <v>0</v>
      </c>
      <c r="H47" s="56">
        <f>SUMPRODUCT((个贷明细!$M$8:$M$666666=A47)*(个贷明细!$AG$8:$AG$666666))+SUMPRODUCT((企贷明细!$M$8:$M$666666=A47)*(企贷明细!$AG$8:$AG$666666))</f>
        <v>0</v>
      </c>
      <c r="I47" s="56">
        <f t="shared" si="2"/>
        <v>0</v>
      </c>
      <c r="J47" s="56">
        <f>SUMPRODUCT((企贷明细!$M$8:$M$666666=A47)*(企贷明细!$AH$8:$AH$666666))</f>
        <v>0</v>
      </c>
      <c r="K47" s="56">
        <f>SUMPRODUCT((个贷明细!$M$8:$M$666666=A47)*(个贷明细!$AI$8:$AI$666666))+SUMPRODUCT((企贷明细!$M$8:$M$666666=A47)*(企贷明细!$AI$8:$AI$666666))+SUMPRODUCT((企贷明细!$M$8:$M$666666=A47)*(企贷明细!$AK$8:$AK$666666))</f>
        <v>0</v>
      </c>
      <c r="L47"/>
      <c r="M47"/>
      <c r="N47"/>
      <c r="O47"/>
      <c r="P47"/>
      <c r="Q47"/>
      <c r="R47"/>
      <c r="S47"/>
      <c r="T47"/>
      <c r="U47"/>
      <c r="V47"/>
      <c r="W47"/>
    </row>
    <row r="48" ht="14.25" spans="1:23">
      <c r="A48" s="68" t="s">
        <v>260</v>
      </c>
      <c r="B48" s="56">
        <f>SUMPRODUCT((个贷明细!$M$8:$M$666666=A48)*(个贷明细!$Q$8:$Q$666666&gt;=设置!$E$23)*(个贷明细!$Q$8:$Q$666666&lt;=设置!$E$24)*(个贷明细!$N$8:$N$666666))+SUMPRODUCT((企贷明细!$M$8:$M$666666=A48)*(企贷明细!$Q$8:$Q$666666&gt;=设置!$E$23)*(企贷明细!$Q$8:$Q$666666&lt;=设置!$E$24)*(企贷明细!$N$8:$N$666666))</f>
        <v>0</v>
      </c>
      <c r="C48" s="56">
        <f>SUMPRODUCT((个贷明细!$M$8:$M$666666=A48)*(个贷明细!$Q$8:$Q$666666&lt;设置!$F$23)*(个贷明细!$R$8:$R$666666&gt;设置!$E$24)*(个贷明细!$T$8:$T$666666=0)*(个贷明细!$N$8:$N$666666))+SUMPRODUCT((个贷明细!$M$8:$M$666666=A48)*(个贷明细!$Q$8:$Q$666666&lt;设置!$F$23)*(个贷明细!$R$8:$R$666666&gt;设置!$E$24)*(个贷明细!$T$8:$T$666666&gt;设置!$E$24)*(个贷明细!$N$8:$N$666666))+SUMPRODUCT((企贷明细!$M$8:$M$666666=A48)*(企贷明细!$Q$8:$Q$666666&lt;设置!$F$23)*(企贷明细!$R$8:$R$666666&gt;设置!$E$24)*(企贷明细!$T$8:$T$666666=0)*(企贷明细!$N$8:$N$666666))+SUMPRODUCT((企贷明细!$M$8:$M$666666=A48)*(企贷明细!$Q$8:$Q$666666&lt;设置!$F$23)*(企贷明细!$R$8:$R$666666&gt;设置!$E$24)*(企贷明细!$T$8:$T$666666&gt;设置!$E$24)*(企贷明细!$N$8:$N$666666))</f>
        <v>0</v>
      </c>
      <c r="D48" s="56">
        <f t="shared" si="0"/>
        <v>0</v>
      </c>
      <c r="E48" s="56">
        <f t="shared" si="1"/>
        <v>0</v>
      </c>
      <c r="F48" s="56">
        <f>SUMPRODUCT((个贷明细!$M$8:$M$666666=A48)*(个贷明细!$AE$8:$AE$666666))+SUMPRODUCT((企贷明细!$M$8:$M$666666=A48)*(企贷明细!$AE$8:$AE$666666))</f>
        <v>0</v>
      </c>
      <c r="G48" s="56">
        <f>SUMPRODUCT((个贷明细!$M$8:$M$666666=A48)*(个贷明细!$AF$8:$AF$666666))+SUMPRODUCT((企贷明细!$M$8:$M$666666=A48)*(企贷明细!$AF$8:$AF$666666))</f>
        <v>0</v>
      </c>
      <c r="H48" s="56">
        <f>SUMPRODUCT((个贷明细!$M$8:$M$666666=A48)*(个贷明细!$AG$8:$AG$666666))+SUMPRODUCT((企贷明细!$M$8:$M$666666=A48)*(企贷明细!$AG$8:$AG$666666))</f>
        <v>0</v>
      </c>
      <c r="I48" s="56">
        <f t="shared" si="2"/>
        <v>0</v>
      </c>
      <c r="J48" s="56">
        <f>SUMPRODUCT((企贷明细!$M$8:$M$666666=A48)*(企贷明细!$AH$8:$AH$666666))</f>
        <v>0</v>
      </c>
      <c r="K48" s="56">
        <f>SUMPRODUCT((个贷明细!$M$8:$M$666666=A48)*(个贷明细!$AI$8:$AI$666666))+SUMPRODUCT((企贷明细!$M$8:$M$666666=A48)*(企贷明细!$AI$8:$AI$666666))+SUMPRODUCT((企贷明细!$M$8:$M$666666=A48)*(企贷明细!$AK$8:$AK$666666))</f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ht="14.25" spans="1:23">
      <c r="A49" s="68" t="s">
        <v>261</v>
      </c>
      <c r="B49" s="56">
        <f>SUMPRODUCT((个贷明细!$M$8:$M$666666=A49)*(个贷明细!$Q$8:$Q$666666&gt;=设置!$E$23)*(个贷明细!$Q$8:$Q$666666&lt;=设置!$E$24)*(个贷明细!$N$8:$N$666666))+SUMPRODUCT((企贷明细!$M$8:$M$666666=A49)*(企贷明细!$Q$8:$Q$666666&gt;=设置!$E$23)*(企贷明细!$Q$8:$Q$666666&lt;=设置!$E$24)*(企贷明细!$N$8:$N$666666))</f>
        <v>0</v>
      </c>
      <c r="C49" s="56">
        <f>SUMPRODUCT((个贷明细!$M$8:$M$666666=A49)*(个贷明细!$Q$8:$Q$666666&lt;设置!$F$23)*(个贷明细!$R$8:$R$666666&gt;设置!$E$24)*(个贷明细!$T$8:$T$666666=0)*(个贷明细!$N$8:$N$666666))+SUMPRODUCT((个贷明细!$M$8:$M$666666=A49)*(个贷明细!$Q$8:$Q$666666&lt;设置!$F$23)*(个贷明细!$R$8:$R$666666&gt;设置!$E$24)*(个贷明细!$T$8:$T$666666&gt;设置!$E$24)*(个贷明细!$N$8:$N$666666))+SUMPRODUCT((企贷明细!$M$8:$M$666666=A49)*(企贷明细!$Q$8:$Q$666666&lt;设置!$F$23)*(企贷明细!$R$8:$R$666666&gt;设置!$E$24)*(企贷明细!$T$8:$T$666666=0)*(企贷明细!$N$8:$N$666666))+SUMPRODUCT((企贷明细!$M$8:$M$666666=A49)*(企贷明细!$Q$8:$Q$666666&lt;设置!$F$23)*(企贷明细!$R$8:$R$666666&gt;设置!$E$24)*(企贷明细!$T$8:$T$666666&gt;设置!$E$24)*(企贷明细!$N$8:$N$666666))</f>
        <v>0</v>
      </c>
      <c r="D49" s="56">
        <f t="shared" si="0"/>
        <v>0</v>
      </c>
      <c r="E49" s="56">
        <f t="shared" si="1"/>
        <v>0</v>
      </c>
      <c r="F49" s="56">
        <f>SUMPRODUCT((个贷明细!$M$8:$M$666666=A49)*(个贷明细!$AE$8:$AE$666666))+SUMPRODUCT((企贷明细!$M$8:$M$666666=A49)*(企贷明细!$AE$8:$AE$666666))</f>
        <v>0</v>
      </c>
      <c r="G49" s="56">
        <f>SUMPRODUCT((个贷明细!$M$8:$M$666666=A49)*(个贷明细!$AF$8:$AF$666666))+SUMPRODUCT((企贷明细!$M$8:$M$666666=A49)*(企贷明细!$AF$8:$AF$666666))</f>
        <v>0</v>
      </c>
      <c r="H49" s="56">
        <f>SUMPRODUCT((个贷明细!$M$8:$M$666666=A49)*(个贷明细!$AG$8:$AG$666666))+SUMPRODUCT((企贷明细!$M$8:$M$666666=A49)*(企贷明细!$AG$8:$AG$666666))</f>
        <v>0</v>
      </c>
      <c r="I49" s="56">
        <f t="shared" si="2"/>
        <v>0</v>
      </c>
      <c r="J49" s="56">
        <f>SUMPRODUCT((企贷明细!$M$8:$M$666666=A49)*(企贷明细!$AH$8:$AH$666666))</f>
        <v>0</v>
      </c>
      <c r="K49" s="56">
        <f>SUMPRODUCT((个贷明细!$M$8:$M$666666=A49)*(个贷明细!$AI$8:$AI$666666))+SUMPRODUCT((企贷明细!$M$8:$M$666666=A49)*(企贷明细!$AI$8:$AI$666666))+SUMPRODUCT((企贷明细!$M$8:$M$666666=A49)*(企贷明细!$AK$8:$AK$666666))</f>
        <v>0</v>
      </c>
      <c r="L49"/>
      <c r="M49"/>
      <c r="N49"/>
      <c r="O49"/>
      <c r="P49"/>
      <c r="Q49"/>
      <c r="R49"/>
      <c r="S49"/>
      <c r="T49"/>
      <c r="U49"/>
      <c r="V49"/>
      <c r="W49"/>
    </row>
    <row r="50" ht="14.25" spans="1:23">
      <c r="A50" s="76" t="s">
        <v>262</v>
      </c>
      <c r="B50" s="56">
        <f>SUMPRODUCT((个贷明细!$M$8:$M$666666=A50)*(个贷明细!$Q$8:$Q$666666&gt;=设置!$E$23)*(个贷明细!$Q$8:$Q$666666&lt;=设置!$E$24)*(个贷明细!$N$8:$N$666666))+SUMPRODUCT((企贷明细!$M$8:$M$666666=A50)*(企贷明细!$Q$8:$Q$666666&gt;=设置!$E$23)*(企贷明细!$Q$8:$Q$666666&lt;=设置!$E$24)*(企贷明细!$N$8:$N$666666))</f>
        <v>0</v>
      </c>
      <c r="C50" s="56">
        <f>SUMPRODUCT((个贷明细!$M$8:$M$666666=A50)*(个贷明细!$Q$8:$Q$666666&lt;设置!$F$23)*(个贷明细!$R$8:$R$666666&gt;设置!$E$24)*(个贷明细!$T$8:$T$666666=0)*(个贷明细!$N$8:$N$666666))+SUMPRODUCT((个贷明细!$M$8:$M$666666=A50)*(个贷明细!$Q$8:$Q$666666&lt;设置!$F$23)*(个贷明细!$R$8:$R$666666&gt;设置!$E$24)*(个贷明细!$T$8:$T$666666&gt;设置!$E$24)*(个贷明细!$N$8:$N$666666))+SUMPRODUCT((企贷明细!$M$8:$M$666666=A50)*(企贷明细!$Q$8:$Q$666666&lt;设置!$F$23)*(企贷明细!$R$8:$R$666666&gt;设置!$E$24)*(企贷明细!$T$8:$T$666666=0)*(企贷明细!$N$8:$N$666666))+SUMPRODUCT((企贷明细!$M$8:$M$666666=A50)*(企贷明细!$Q$8:$Q$666666&lt;设置!$F$23)*(企贷明细!$R$8:$R$666666&gt;设置!$E$24)*(企贷明细!$T$8:$T$666666&gt;设置!$E$24)*(企贷明细!$N$8:$N$666666))</f>
        <v>0</v>
      </c>
      <c r="D50" s="56">
        <f t="shared" si="0"/>
        <v>0</v>
      </c>
      <c r="E50" s="56">
        <f t="shared" si="1"/>
        <v>0</v>
      </c>
      <c r="F50" s="56">
        <f>SUMPRODUCT((个贷明细!$M$8:$M$666666=A50)*(个贷明细!$AE$8:$AE$666666))+SUMPRODUCT((企贷明细!$M$8:$M$666666=A50)*(企贷明细!$AE$8:$AE$666666))</f>
        <v>0</v>
      </c>
      <c r="G50" s="56">
        <f>SUMPRODUCT((个贷明细!$M$8:$M$666666=A50)*(个贷明细!$AF$8:$AF$666666))+SUMPRODUCT((企贷明细!$M$8:$M$666666=A50)*(企贷明细!$AF$8:$AF$666666))</f>
        <v>0</v>
      </c>
      <c r="H50" s="56">
        <f>SUMPRODUCT((个贷明细!$M$8:$M$666666=A50)*(个贷明细!$AG$8:$AG$666666))+SUMPRODUCT((企贷明细!$M$8:$M$666666=A50)*(企贷明细!$AG$8:$AG$666666))</f>
        <v>0</v>
      </c>
      <c r="I50" s="56">
        <f t="shared" si="2"/>
        <v>0</v>
      </c>
      <c r="J50" s="56">
        <f>SUMPRODUCT((企贷明细!$M$8:$M$666666=A50)*(企贷明细!$AH$8:$AH$666666))</f>
        <v>0</v>
      </c>
      <c r="K50" s="56">
        <f>SUMPRODUCT((个贷明细!$M$8:$M$666666=A50)*(个贷明细!$AI$8:$AI$666666))+SUMPRODUCT((企贷明细!$M$8:$M$666666=A50)*(企贷明细!$AI$8:$AI$666666))+SUMPRODUCT((企贷明细!$M$8:$M$666666=A50)*(企贷明细!$AK$8:$AK$666666))</f>
        <v>0</v>
      </c>
      <c r="L50"/>
      <c r="M50"/>
      <c r="N50"/>
      <c r="O50"/>
      <c r="P50"/>
      <c r="Q50"/>
      <c r="R50"/>
      <c r="S50"/>
      <c r="T50"/>
      <c r="U50"/>
      <c r="V50"/>
      <c r="W50"/>
    </row>
    <row r="51" ht="14.25" spans="1:23">
      <c r="A51" s="76" t="s">
        <v>263</v>
      </c>
      <c r="B51" s="56">
        <f>SUMPRODUCT((个贷明细!$M$8:$M$666666=A51)*(个贷明细!$Q$8:$Q$666666&gt;=设置!$E$23)*(个贷明细!$Q$8:$Q$666666&lt;=设置!$E$24)*(个贷明细!$N$8:$N$666666))+SUMPRODUCT((企贷明细!$M$8:$M$666666=A51)*(企贷明细!$Q$8:$Q$666666&gt;=设置!$E$23)*(企贷明细!$Q$8:$Q$666666&lt;=设置!$E$24)*(企贷明细!$N$8:$N$666666))</f>
        <v>0</v>
      </c>
      <c r="C51" s="56">
        <f>SUMPRODUCT((个贷明细!$M$8:$M$666666=A51)*(个贷明细!$Q$8:$Q$666666&lt;设置!$F$23)*(个贷明细!$R$8:$R$666666&gt;设置!$E$24)*(个贷明细!$T$8:$T$666666=0)*(个贷明细!$N$8:$N$666666))+SUMPRODUCT((个贷明细!$M$8:$M$666666=A51)*(个贷明细!$Q$8:$Q$666666&lt;设置!$F$23)*(个贷明细!$R$8:$R$666666&gt;设置!$E$24)*(个贷明细!$T$8:$T$666666&gt;设置!$E$24)*(个贷明细!$N$8:$N$666666))+SUMPRODUCT((企贷明细!$M$8:$M$666666=A51)*(企贷明细!$Q$8:$Q$666666&lt;设置!$F$23)*(企贷明细!$R$8:$R$666666&gt;设置!$E$24)*(企贷明细!$T$8:$T$666666=0)*(企贷明细!$N$8:$N$666666))+SUMPRODUCT((企贷明细!$M$8:$M$666666=A51)*(企贷明细!$Q$8:$Q$666666&lt;设置!$F$23)*(企贷明细!$R$8:$R$666666&gt;设置!$E$24)*(企贷明细!$T$8:$T$666666&gt;设置!$E$24)*(企贷明细!$N$8:$N$666666))</f>
        <v>0</v>
      </c>
      <c r="D51" s="56">
        <f t="shared" si="0"/>
        <v>0</v>
      </c>
      <c r="E51" s="56">
        <f t="shared" si="1"/>
        <v>0</v>
      </c>
      <c r="F51" s="56">
        <f>SUMPRODUCT((个贷明细!$M$8:$M$666666=A51)*(个贷明细!$AE$8:$AE$666666))+SUMPRODUCT((企贷明细!$M$8:$M$666666=A51)*(企贷明细!$AE$8:$AE$666666))</f>
        <v>0</v>
      </c>
      <c r="G51" s="56">
        <f>SUMPRODUCT((个贷明细!$M$8:$M$666666=A51)*(个贷明细!$AF$8:$AF$666666))+SUMPRODUCT((企贷明细!$M$8:$M$666666=A51)*(企贷明细!$AF$8:$AF$666666))</f>
        <v>0</v>
      </c>
      <c r="H51" s="56">
        <f>SUMPRODUCT((个贷明细!$M$8:$M$666666=A51)*(个贷明细!$AG$8:$AG$666666))+SUMPRODUCT((企贷明细!$M$8:$M$666666=A51)*(企贷明细!$AG$8:$AG$666666))</f>
        <v>0</v>
      </c>
      <c r="I51" s="56">
        <f t="shared" si="2"/>
        <v>0</v>
      </c>
      <c r="J51" s="56">
        <f>SUMPRODUCT((企贷明细!$M$8:$M$666666=A51)*(企贷明细!$AH$8:$AH$666666))</f>
        <v>0</v>
      </c>
      <c r="K51" s="56">
        <f>SUMPRODUCT((个贷明细!$M$8:$M$666666=A51)*(个贷明细!$AI$8:$AI$666666))+SUMPRODUCT((企贷明细!$M$8:$M$666666=A51)*(企贷明细!$AI$8:$AI$666666))+SUMPRODUCT((企贷明细!$M$8:$M$666666=A51)*(企贷明细!$AK$8:$AK$666666))</f>
        <v>0</v>
      </c>
      <c r="L51"/>
      <c r="M51"/>
      <c r="N51"/>
      <c r="O51"/>
      <c r="P51"/>
      <c r="Q51"/>
      <c r="R51"/>
      <c r="S51"/>
      <c r="T51"/>
      <c r="U51"/>
      <c r="V51"/>
      <c r="W51"/>
    </row>
    <row r="52" ht="14.25" spans="1:23">
      <c r="A52" s="76" t="s">
        <v>264</v>
      </c>
      <c r="B52" s="56">
        <f>SUMPRODUCT((个贷明细!$M$8:$M$666666=A52)*(个贷明细!$Q$8:$Q$666666&gt;=设置!$E$23)*(个贷明细!$Q$8:$Q$666666&lt;=设置!$E$24)*(个贷明细!$N$8:$N$666666))+SUMPRODUCT((企贷明细!$M$8:$M$666666=A52)*(企贷明细!$Q$8:$Q$666666&gt;=设置!$E$23)*(企贷明细!$Q$8:$Q$666666&lt;=设置!$E$24)*(企贷明细!$N$8:$N$666666))</f>
        <v>0</v>
      </c>
      <c r="C52" s="56">
        <f>SUMPRODUCT((个贷明细!$M$8:$M$666666=A52)*(个贷明细!$Q$8:$Q$666666&lt;设置!$F$23)*(个贷明细!$R$8:$R$666666&gt;设置!$E$24)*(个贷明细!$T$8:$T$666666=0)*(个贷明细!$N$8:$N$666666))+SUMPRODUCT((个贷明细!$M$8:$M$666666=A52)*(个贷明细!$Q$8:$Q$666666&lt;设置!$F$23)*(个贷明细!$R$8:$R$666666&gt;设置!$E$24)*(个贷明细!$T$8:$T$666666&gt;设置!$E$24)*(个贷明细!$N$8:$N$666666))+SUMPRODUCT((企贷明细!$M$8:$M$666666=A52)*(企贷明细!$Q$8:$Q$666666&lt;设置!$F$23)*(企贷明细!$R$8:$R$666666&gt;设置!$E$24)*(企贷明细!$T$8:$T$666666=0)*(企贷明细!$N$8:$N$666666))+SUMPRODUCT((企贷明细!$M$8:$M$666666=A52)*(企贷明细!$Q$8:$Q$666666&lt;设置!$F$23)*(企贷明细!$R$8:$R$666666&gt;设置!$E$24)*(企贷明细!$T$8:$T$666666&gt;设置!$E$24)*(企贷明细!$N$8:$N$666666))</f>
        <v>0</v>
      </c>
      <c r="D52" s="56">
        <f t="shared" si="0"/>
        <v>0</v>
      </c>
      <c r="E52" s="56">
        <f t="shared" si="1"/>
        <v>0</v>
      </c>
      <c r="F52" s="56">
        <f>SUMPRODUCT((个贷明细!$M$8:$M$666666=A52)*(个贷明细!$AE$8:$AE$666666))+SUMPRODUCT((企贷明细!$M$8:$M$666666=A52)*(企贷明细!$AE$8:$AE$666666))</f>
        <v>0</v>
      </c>
      <c r="G52" s="56">
        <f>SUMPRODUCT((个贷明细!$M$8:$M$666666=A52)*(个贷明细!$AF$8:$AF$666666))+SUMPRODUCT((企贷明细!$M$8:$M$666666=A52)*(企贷明细!$AF$8:$AF$666666))</f>
        <v>0</v>
      </c>
      <c r="H52" s="56">
        <f>SUMPRODUCT((个贷明细!$M$8:$M$666666=A52)*(个贷明细!$AG$8:$AG$666666))+SUMPRODUCT((企贷明细!$M$8:$M$666666=A52)*(企贷明细!$AG$8:$AG$666666))</f>
        <v>0</v>
      </c>
      <c r="I52" s="56">
        <f t="shared" si="2"/>
        <v>0</v>
      </c>
      <c r="J52" s="56">
        <f>SUMPRODUCT((企贷明细!$M$8:$M$666666=A52)*(企贷明细!$AH$8:$AH$666666))</f>
        <v>0</v>
      </c>
      <c r="K52" s="56">
        <f>SUMPRODUCT((个贷明细!$M$8:$M$666666=A52)*(个贷明细!$AI$8:$AI$666666))+SUMPRODUCT((企贷明细!$M$8:$M$666666=A52)*(企贷明细!$AI$8:$AI$666666))+SUMPRODUCT((企贷明细!$M$8:$M$666666=A52)*(企贷明细!$AK$8:$AK$666666))</f>
        <v>0</v>
      </c>
      <c r="L52"/>
      <c r="M52"/>
      <c r="N52"/>
      <c r="O52"/>
      <c r="P52"/>
      <c r="Q52"/>
      <c r="R52"/>
      <c r="S52"/>
      <c r="T52"/>
      <c r="U52"/>
      <c r="V52"/>
      <c r="W52"/>
    </row>
    <row r="53" ht="14.25" spans="1:23">
      <c r="A53" s="68" t="s">
        <v>265</v>
      </c>
      <c r="B53" s="56">
        <f>SUMPRODUCT((个贷明细!$M$8:$M$666666=A53)*(个贷明细!$Q$8:$Q$666666&gt;=设置!$E$23)*(个贷明细!$Q$8:$Q$666666&lt;=设置!$E$24)*(个贷明细!$N$8:$N$666666))+SUMPRODUCT((企贷明细!$M$8:$M$666666=A53)*(企贷明细!$Q$8:$Q$666666&gt;=设置!$E$23)*(企贷明细!$Q$8:$Q$666666&lt;=设置!$E$24)*(企贷明细!$N$8:$N$666666))</f>
        <v>0</v>
      </c>
      <c r="C53" s="56">
        <f>SUMPRODUCT((个贷明细!$M$8:$M$666666=A53)*(个贷明细!$Q$8:$Q$666666&lt;设置!$F$23)*(个贷明细!$R$8:$R$666666&gt;设置!$E$24)*(个贷明细!$T$8:$T$666666=0)*(个贷明细!$N$8:$N$666666))+SUMPRODUCT((个贷明细!$M$8:$M$666666=A53)*(个贷明细!$Q$8:$Q$666666&lt;设置!$F$23)*(个贷明细!$R$8:$R$666666&gt;设置!$E$24)*(个贷明细!$T$8:$T$666666&gt;设置!$E$24)*(个贷明细!$N$8:$N$666666))+SUMPRODUCT((企贷明细!$M$8:$M$666666=A53)*(企贷明细!$Q$8:$Q$666666&lt;设置!$F$23)*(企贷明细!$R$8:$R$666666&gt;设置!$E$24)*(企贷明细!$T$8:$T$666666=0)*(企贷明细!$N$8:$N$666666))+SUMPRODUCT((企贷明细!$M$8:$M$666666=A53)*(企贷明细!$Q$8:$Q$666666&lt;设置!$F$23)*(企贷明细!$R$8:$R$666666&gt;设置!$E$24)*(企贷明细!$T$8:$T$666666&gt;设置!$E$24)*(企贷明细!$N$8:$N$666666))</f>
        <v>0</v>
      </c>
      <c r="D53" s="56">
        <f t="shared" si="0"/>
        <v>0</v>
      </c>
      <c r="E53" s="56">
        <f t="shared" si="1"/>
        <v>0</v>
      </c>
      <c r="F53" s="56">
        <f>SUMPRODUCT((个贷明细!$M$8:$M$666666=A53)*(个贷明细!$AE$8:$AE$666666))+SUMPRODUCT((企贷明细!$M$8:$M$666666=A53)*(企贷明细!$AE$8:$AE$666666))</f>
        <v>0</v>
      </c>
      <c r="G53" s="56">
        <f>SUMPRODUCT((个贷明细!$M$8:$M$666666=A53)*(个贷明细!$AF$8:$AF$666666))+SUMPRODUCT((企贷明细!$M$8:$M$666666=A53)*(企贷明细!$AF$8:$AF$666666))</f>
        <v>0</v>
      </c>
      <c r="H53" s="56">
        <f>SUMPRODUCT((个贷明细!$M$8:$M$666666=A53)*(个贷明细!$AG$8:$AG$666666))+SUMPRODUCT((企贷明细!$M$8:$M$666666=A53)*(企贷明细!$AG$8:$AG$666666))</f>
        <v>0</v>
      </c>
      <c r="I53" s="56">
        <f t="shared" si="2"/>
        <v>0</v>
      </c>
      <c r="J53" s="56">
        <f>SUMPRODUCT((企贷明细!$M$8:$M$666666=A53)*(企贷明细!$AH$8:$AH$666666))</f>
        <v>0</v>
      </c>
      <c r="K53" s="56">
        <f>SUMPRODUCT((个贷明细!$M$8:$M$666666=A53)*(个贷明细!$AI$8:$AI$666666))+SUMPRODUCT((企贷明细!$M$8:$M$666666=A53)*(企贷明细!$AI$8:$AI$666666))+SUMPRODUCT((企贷明细!$M$8:$M$666666=A53)*(企贷明细!$AK$8:$AK$666666))</f>
        <v>0</v>
      </c>
      <c r="L53"/>
      <c r="M53"/>
      <c r="N53"/>
      <c r="O53"/>
      <c r="P53"/>
      <c r="Q53"/>
      <c r="R53"/>
      <c r="S53"/>
      <c r="T53"/>
      <c r="U53"/>
      <c r="V53"/>
      <c r="W53"/>
    </row>
    <row r="54" ht="14.25" spans="1:23">
      <c r="A54" s="68" t="s">
        <v>266</v>
      </c>
      <c r="B54" s="56">
        <f>SUMPRODUCT((个贷明细!$M$8:$M$666666=A54)*(个贷明细!$Q$8:$Q$666666&gt;=设置!$E$23)*(个贷明细!$Q$8:$Q$666666&lt;=设置!$E$24)*(个贷明细!$N$8:$N$666666))+SUMPRODUCT((企贷明细!$M$8:$M$666666=A54)*(企贷明细!$Q$8:$Q$666666&gt;=设置!$E$23)*(企贷明细!$Q$8:$Q$666666&lt;=设置!$E$24)*(企贷明细!$N$8:$N$666666))</f>
        <v>0</v>
      </c>
      <c r="C54" s="56">
        <f>SUMPRODUCT((个贷明细!$M$8:$M$666666=A54)*(个贷明细!$Q$8:$Q$666666&lt;设置!$F$23)*(个贷明细!$R$8:$R$666666&gt;设置!$E$24)*(个贷明细!$T$8:$T$666666=0)*(个贷明细!$N$8:$N$666666))+SUMPRODUCT((个贷明细!$M$8:$M$666666=A54)*(个贷明细!$Q$8:$Q$666666&lt;设置!$F$23)*(个贷明细!$R$8:$R$666666&gt;设置!$E$24)*(个贷明细!$T$8:$T$666666&gt;设置!$E$24)*(个贷明细!$N$8:$N$666666))+SUMPRODUCT((企贷明细!$M$8:$M$666666=A54)*(企贷明细!$Q$8:$Q$666666&lt;设置!$F$23)*(企贷明细!$R$8:$R$666666&gt;设置!$E$24)*(企贷明细!$T$8:$T$666666=0)*(企贷明细!$N$8:$N$666666))+SUMPRODUCT((企贷明细!$M$8:$M$666666=A54)*(企贷明细!$Q$8:$Q$666666&lt;设置!$F$23)*(企贷明细!$R$8:$R$666666&gt;设置!$E$24)*(企贷明细!$T$8:$T$666666&gt;设置!$E$24)*(企贷明细!$N$8:$N$666666))</f>
        <v>0</v>
      </c>
      <c r="D54" s="56">
        <f t="shared" si="0"/>
        <v>0</v>
      </c>
      <c r="E54" s="56">
        <f t="shared" si="1"/>
        <v>0</v>
      </c>
      <c r="F54" s="56">
        <f>SUMPRODUCT((个贷明细!$M$8:$M$666666=A54)*(个贷明细!$AE$8:$AE$666666))+SUMPRODUCT((企贷明细!$M$8:$M$666666=A54)*(企贷明细!$AE$8:$AE$666666))</f>
        <v>0</v>
      </c>
      <c r="G54" s="56">
        <f>SUMPRODUCT((个贷明细!$M$8:$M$666666=A54)*(个贷明细!$AF$8:$AF$666666))+SUMPRODUCT((企贷明细!$M$8:$M$666666=A54)*(企贷明细!$AF$8:$AF$666666))</f>
        <v>0</v>
      </c>
      <c r="H54" s="56">
        <f>SUMPRODUCT((个贷明细!$M$8:$M$666666=A54)*(个贷明细!$AG$8:$AG$666666))+SUMPRODUCT((企贷明细!$M$8:$M$666666=A54)*(企贷明细!$AG$8:$AG$666666))</f>
        <v>0</v>
      </c>
      <c r="I54" s="56">
        <f t="shared" si="2"/>
        <v>0</v>
      </c>
      <c r="J54" s="56">
        <f>SUMPRODUCT((企贷明细!$M$8:$M$666666=A54)*(企贷明细!$AH$8:$AH$666666))</f>
        <v>0</v>
      </c>
      <c r="K54" s="56">
        <f>SUMPRODUCT((个贷明细!$M$8:$M$666666=A54)*(个贷明细!$AI$8:$AI$666666))+SUMPRODUCT((企贷明细!$M$8:$M$666666=A54)*(企贷明细!$AI$8:$AI$666666))+SUMPRODUCT((企贷明细!$M$8:$M$666666=A54)*(企贷明细!$AK$8:$AK$666666))</f>
        <v>0</v>
      </c>
      <c r="L54"/>
      <c r="M54"/>
      <c r="N54"/>
      <c r="O54"/>
      <c r="P54"/>
      <c r="Q54"/>
      <c r="R54"/>
      <c r="S54"/>
      <c r="T54"/>
      <c r="U54"/>
      <c r="V54"/>
      <c r="W54"/>
    </row>
    <row r="55" ht="14.25" spans="1:23">
      <c r="A55" s="76" t="s">
        <v>267</v>
      </c>
      <c r="B55" s="56">
        <f>SUMPRODUCT((个贷明细!$M$8:$M$666666=A55)*(个贷明细!$Q$8:$Q$666666&gt;=设置!$E$23)*(个贷明细!$Q$8:$Q$666666&lt;=设置!$E$24)*(个贷明细!$N$8:$N$666666))+SUMPRODUCT((企贷明细!$M$8:$M$666666=A55)*(企贷明细!$Q$8:$Q$666666&gt;=设置!$E$23)*(企贷明细!$Q$8:$Q$666666&lt;=设置!$E$24)*(企贷明细!$N$8:$N$666666))</f>
        <v>0</v>
      </c>
      <c r="C55" s="56">
        <f>SUMPRODUCT((个贷明细!$M$8:$M$666666=A55)*(个贷明细!$Q$8:$Q$666666&lt;设置!$F$23)*(个贷明细!$R$8:$R$666666&gt;设置!$E$24)*(个贷明细!$T$8:$T$666666=0)*(个贷明细!$N$8:$N$666666))+SUMPRODUCT((个贷明细!$M$8:$M$666666=A55)*(个贷明细!$Q$8:$Q$666666&lt;设置!$F$23)*(个贷明细!$R$8:$R$666666&gt;设置!$E$24)*(个贷明细!$T$8:$T$666666&gt;设置!$E$24)*(个贷明细!$N$8:$N$666666))+SUMPRODUCT((企贷明细!$M$8:$M$666666=A55)*(企贷明细!$Q$8:$Q$666666&lt;设置!$F$23)*(企贷明细!$R$8:$R$666666&gt;设置!$E$24)*(企贷明细!$T$8:$T$666666=0)*(企贷明细!$N$8:$N$666666))+SUMPRODUCT((企贷明细!$M$8:$M$666666=A55)*(企贷明细!$Q$8:$Q$666666&lt;设置!$F$23)*(企贷明细!$R$8:$R$666666&gt;设置!$E$24)*(企贷明细!$T$8:$T$666666&gt;设置!$E$24)*(企贷明细!$N$8:$N$666666))</f>
        <v>0</v>
      </c>
      <c r="D55" s="56">
        <f t="shared" si="0"/>
        <v>0</v>
      </c>
      <c r="E55" s="56">
        <f t="shared" si="1"/>
        <v>0</v>
      </c>
      <c r="F55" s="56">
        <f>SUMPRODUCT((个贷明细!$M$8:$M$666666=A55)*(个贷明细!$AE$8:$AE$666666))+SUMPRODUCT((企贷明细!$M$8:$M$666666=A55)*(企贷明细!$AE$8:$AE$666666))</f>
        <v>0</v>
      </c>
      <c r="G55" s="56">
        <f>SUMPRODUCT((个贷明细!$M$8:$M$666666=A55)*(个贷明细!$AF$8:$AF$666666))+SUMPRODUCT((企贷明细!$M$8:$M$666666=A55)*(企贷明细!$AF$8:$AF$666666))</f>
        <v>0</v>
      </c>
      <c r="H55" s="56">
        <f>SUMPRODUCT((个贷明细!$M$8:$M$666666=A55)*(个贷明细!$AG$8:$AG$666666))+SUMPRODUCT((企贷明细!$M$8:$M$666666=A55)*(企贷明细!$AG$8:$AG$666666))</f>
        <v>0</v>
      </c>
      <c r="I55" s="56">
        <f t="shared" si="2"/>
        <v>0</v>
      </c>
      <c r="J55" s="56">
        <f>SUMPRODUCT((企贷明细!$M$8:$M$666666=A55)*(企贷明细!$AH$8:$AH$666666))</f>
        <v>0</v>
      </c>
      <c r="K55" s="56">
        <f>SUMPRODUCT((个贷明细!$M$8:$M$666666=A55)*(个贷明细!$AI$8:$AI$666666))+SUMPRODUCT((企贷明细!$M$8:$M$666666=A55)*(企贷明细!$AI$8:$AI$666666))+SUMPRODUCT((企贷明细!$M$8:$M$666666=A55)*(企贷明细!$AK$8:$AK$666666))</f>
        <v>0</v>
      </c>
      <c r="L55"/>
      <c r="M55"/>
      <c r="N55"/>
      <c r="O55"/>
      <c r="P55"/>
      <c r="Q55"/>
      <c r="R55"/>
      <c r="S55"/>
      <c r="T55"/>
      <c r="U55"/>
      <c r="V55"/>
      <c r="W55"/>
    </row>
    <row r="56" ht="14.25" spans="1:23">
      <c r="A56" s="76" t="s">
        <v>268</v>
      </c>
      <c r="B56" s="56">
        <f>SUMPRODUCT((个贷明细!$M$8:$M$666666=A56)*(个贷明细!$Q$8:$Q$666666&gt;=设置!$E$23)*(个贷明细!$Q$8:$Q$666666&lt;=设置!$E$24)*(个贷明细!$N$8:$N$666666))+SUMPRODUCT((企贷明细!$M$8:$M$666666=A56)*(企贷明细!$Q$8:$Q$666666&gt;=设置!$E$23)*(企贷明细!$Q$8:$Q$666666&lt;=设置!$E$24)*(企贷明细!$N$8:$N$666666))</f>
        <v>0</v>
      </c>
      <c r="C56" s="56">
        <f>SUMPRODUCT((个贷明细!$M$8:$M$666666=A56)*(个贷明细!$Q$8:$Q$666666&lt;设置!$F$23)*(个贷明细!$R$8:$R$666666&gt;设置!$E$24)*(个贷明细!$T$8:$T$666666=0)*(个贷明细!$N$8:$N$666666))+SUMPRODUCT((个贷明细!$M$8:$M$666666=A56)*(个贷明细!$Q$8:$Q$666666&lt;设置!$F$23)*(个贷明细!$R$8:$R$666666&gt;设置!$E$24)*(个贷明细!$T$8:$T$666666&gt;设置!$E$24)*(个贷明细!$N$8:$N$666666))+SUMPRODUCT((企贷明细!$M$8:$M$666666=A56)*(企贷明细!$Q$8:$Q$666666&lt;设置!$F$23)*(企贷明细!$R$8:$R$666666&gt;设置!$E$24)*(企贷明细!$T$8:$T$666666=0)*(企贷明细!$N$8:$N$666666))+SUMPRODUCT((企贷明细!$M$8:$M$666666=A56)*(企贷明细!$Q$8:$Q$666666&lt;设置!$F$23)*(企贷明细!$R$8:$R$666666&gt;设置!$E$24)*(企贷明细!$T$8:$T$666666&gt;设置!$E$24)*(企贷明细!$N$8:$N$666666))</f>
        <v>0</v>
      </c>
      <c r="D56" s="56">
        <f t="shared" si="0"/>
        <v>0</v>
      </c>
      <c r="E56" s="56">
        <f t="shared" si="1"/>
        <v>0</v>
      </c>
      <c r="F56" s="56">
        <f>SUMPRODUCT((个贷明细!$M$8:$M$666666=A56)*(个贷明细!$AE$8:$AE$666666))+SUMPRODUCT((企贷明细!$M$8:$M$666666=A56)*(企贷明细!$AE$8:$AE$666666))</f>
        <v>0</v>
      </c>
      <c r="G56" s="56">
        <f>SUMPRODUCT((个贷明细!$M$8:$M$666666=A56)*(个贷明细!$AF$8:$AF$666666))+SUMPRODUCT((企贷明细!$M$8:$M$666666=A56)*(企贷明细!$AF$8:$AF$666666))</f>
        <v>0</v>
      </c>
      <c r="H56" s="56">
        <f>SUMPRODUCT((个贷明细!$M$8:$M$666666=A56)*(个贷明细!$AG$8:$AG$666666))+SUMPRODUCT((企贷明细!$M$8:$M$666666=A56)*(企贷明细!$AG$8:$AG$666666))</f>
        <v>0</v>
      </c>
      <c r="I56" s="56">
        <f t="shared" si="2"/>
        <v>0</v>
      </c>
      <c r="J56" s="56">
        <f>SUMPRODUCT((企贷明细!$M$8:$M$666666=A56)*(企贷明细!$AH$8:$AH$666666))</f>
        <v>0</v>
      </c>
      <c r="K56" s="56">
        <f>SUMPRODUCT((个贷明细!$M$8:$M$666666=A56)*(个贷明细!$AI$8:$AI$666666))+SUMPRODUCT((企贷明细!$M$8:$M$666666=A56)*(企贷明细!$AI$8:$AI$666666))+SUMPRODUCT((企贷明细!$M$8:$M$666666=A56)*(企贷明细!$AK$8:$AK$666666))</f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ht="14.25" spans="1:23">
      <c r="A57" s="76" t="s">
        <v>269</v>
      </c>
      <c r="B57" s="56">
        <f>SUMPRODUCT((个贷明细!$M$8:$M$666666=A57)*(个贷明细!$Q$8:$Q$666666&gt;=设置!$E$23)*(个贷明细!$Q$8:$Q$666666&lt;=设置!$E$24)*(个贷明细!$N$8:$N$666666))+SUMPRODUCT((企贷明细!$M$8:$M$666666=A57)*(企贷明细!$Q$8:$Q$666666&gt;=设置!$E$23)*(企贷明细!$Q$8:$Q$666666&lt;=设置!$E$24)*(企贷明细!$N$8:$N$666666))</f>
        <v>0</v>
      </c>
      <c r="C57" s="56">
        <f>SUMPRODUCT((个贷明细!$M$8:$M$666666=A57)*(个贷明细!$Q$8:$Q$666666&lt;设置!$F$23)*(个贷明细!$R$8:$R$666666&gt;设置!$E$24)*(个贷明细!$T$8:$T$666666=0)*(个贷明细!$N$8:$N$666666))+SUMPRODUCT((个贷明细!$M$8:$M$666666=A57)*(个贷明细!$Q$8:$Q$666666&lt;设置!$F$23)*(个贷明细!$R$8:$R$666666&gt;设置!$E$24)*(个贷明细!$T$8:$T$666666&gt;设置!$E$24)*(个贷明细!$N$8:$N$666666))+SUMPRODUCT((企贷明细!$M$8:$M$666666=A57)*(企贷明细!$Q$8:$Q$666666&lt;设置!$F$23)*(企贷明细!$R$8:$R$666666&gt;设置!$E$24)*(企贷明细!$T$8:$T$666666=0)*(企贷明细!$N$8:$N$666666))+SUMPRODUCT((企贷明细!$M$8:$M$666666=A57)*(企贷明细!$Q$8:$Q$666666&lt;设置!$F$23)*(企贷明细!$R$8:$R$666666&gt;设置!$E$24)*(企贷明细!$T$8:$T$666666&gt;设置!$E$24)*(企贷明细!$N$8:$N$666666))</f>
        <v>0</v>
      </c>
      <c r="D57" s="56">
        <f t="shared" si="0"/>
        <v>0</v>
      </c>
      <c r="E57" s="56">
        <f t="shared" si="1"/>
        <v>0</v>
      </c>
      <c r="F57" s="56">
        <f>SUMPRODUCT((个贷明细!$M$8:$M$666666=A57)*(个贷明细!$AE$8:$AE$666666))+SUMPRODUCT((企贷明细!$M$8:$M$666666=A57)*(企贷明细!$AE$8:$AE$666666))</f>
        <v>0</v>
      </c>
      <c r="G57" s="56">
        <f>SUMPRODUCT((个贷明细!$M$8:$M$666666=A57)*(个贷明细!$AF$8:$AF$666666))+SUMPRODUCT((企贷明细!$M$8:$M$666666=A57)*(企贷明细!$AF$8:$AF$666666))</f>
        <v>0</v>
      </c>
      <c r="H57" s="56">
        <f>SUMPRODUCT((个贷明细!$M$8:$M$666666=A57)*(个贷明细!$AG$8:$AG$666666))+SUMPRODUCT((企贷明细!$M$8:$M$666666=A57)*(企贷明细!$AG$8:$AG$666666))</f>
        <v>0</v>
      </c>
      <c r="I57" s="56">
        <f t="shared" si="2"/>
        <v>0</v>
      </c>
      <c r="J57" s="56">
        <f>SUMPRODUCT((企贷明细!$M$8:$M$666666=A57)*(企贷明细!$AH$8:$AH$666666))</f>
        <v>0</v>
      </c>
      <c r="K57" s="56">
        <f>SUMPRODUCT((个贷明细!$M$8:$M$666666=A57)*(个贷明细!$AI$8:$AI$666666))+SUMPRODUCT((企贷明细!$M$8:$M$666666=A57)*(企贷明细!$AI$8:$AI$666666))+SUMPRODUCT((企贷明细!$M$8:$M$666666=A57)*(企贷明细!$AK$8:$AK$666666))</f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ht="14.25" spans="1:23">
      <c r="A58" s="68" t="s">
        <v>270</v>
      </c>
      <c r="B58" s="56">
        <f>SUMPRODUCT((个贷明细!$M$8:$M$666666=A58)*(个贷明细!$Q$8:$Q$666666&gt;=设置!$E$23)*(个贷明细!$Q$8:$Q$666666&lt;=设置!$E$24)*(个贷明细!$N$8:$N$666666))+SUMPRODUCT((企贷明细!$M$8:$M$666666=A58)*(企贷明细!$Q$8:$Q$666666&gt;=设置!$E$23)*(企贷明细!$Q$8:$Q$666666&lt;=设置!$E$24)*(企贷明细!$N$8:$N$666666))</f>
        <v>0</v>
      </c>
      <c r="C58" s="56">
        <f>SUMPRODUCT((个贷明细!$M$8:$M$666666=A58)*(个贷明细!$Q$8:$Q$666666&lt;设置!$F$23)*(个贷明细!$R$8:$R$666666&gt;设置!$E$24)*(个贷明细!$T$8:$T$666666=0)*(个贷明细!$N$8:$N$666666))+SUMPRODUCT((个贷明细!$M$8:$M$666666=A58)*(个贷明细!$Q$8:$Q$666666&lt;设置!$F$23)*(个贷明细!$R$8:$R$666666&gt;设置!$E$24)*(个贷明细!$T$8:$T$666666&gt;设置!$E$24)*(个贷明细!$N$8:$N$666666))+SUMPRODUCT((企贷明细!$M$8:$M$666666=A58)*(企贷明细!$Q$8:$Q$666666&lt;设置!$F$23)*(企贷明细!$R$8:$R$666666&gt;设置!$E$24)*(企贷明细!$T$8:$T$666666=0)*(企贷明细!$N$8:$N$666666))+SUMPRODUCT((企贷明细!$M$8:$M$666666=A58)*(企贷明细!$Q$8:$Q$666666&lt;设置!$F$23)*(企贷明细!$R$8:$R$666666&gt;设置!$E$24)*(企贷明细!$T$8:$T$666666&gt;设置!$E$24)*(企贷明细!$N$8:$N$666666))</f>
        <v>0</v>
      </c>
      <c r="D58" s="56">
        <f t="shared" si="0"/>
        <v>0</v>
      </c>
      <c r="E58" s="56">
        <f t="shared" si="1"/>
        <v>0</v>
      </c>
      <c r="F58" s="56">
        <f>SUMPRODUCT((个贷明细!$M$8:$M$666666=A58)*(个贷明细!$AE$8:$AE$666666))+SUMPRODUCT((企贷明细!$M$8:$M$666666=A58)*(企贷明细!$AE$8:$AE$666666))</f>
        <v>0</v>
      </c>
      <c r="G58" s="56">
        <f>SUMPRODUCT((个贷明细!$M$8:$M$666666=A58)*(个贷明细!$AF$8:$AF$666666))+SUMPRODUCT((企贷明细!$M$8:$M$666666=A58)*(企贷明细!$AF$8:$AF$666666))</f>
        <v>0</v>
      </c>
      <c r="H58" s="56">
        <f>SUMPRODUCT((个贷明细!$M$8:$M$666666=A58)*(个贷明细!$AG$8:$AG$666666))+SUMPRODUCT((企贷明细!$M$8:$M$666666=A58)*(企贷明细!$AG$8:$AG$666666))</f>
        <v>0</v>
      </c>
      <c r="I58" s="56">
        <f t="shared" si="2"/>
        <v>0</v>
      </c>
      <c r="J58" s="56">
        <f>SUMPRODUCT((企贷明细!$M$8:$M$666666=A58)*(企贷明细!$AH$8:$AH$666666))</f>
        <v>0</v>
      </c>
      <c r="K58" s="56">
        <f>SUMPRODUCT((个贷明细!$M$8:$M$666666=A58)*(个贷明细!$AI$8:$AI$666666))+SUMPRODUCT((企贷明细!$M$8:$M$666666=A58)*(企贷明细!$AI$8:$AI$666666))+SUMPRODUCT((企贷明细!$M$8:$M$666666=A58)*(企贷明细!$AK$8:$AK$666666))</f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ht="14.25" spans="1:23">
      <c r="A59" s="68" t="s">
        <v>271</v>
      </c>
      <c r="B59" s="56">
        <f>SUMPRODUCT((个贷明细!$M$8:$M$666666=A59)*(个贷明细!$Q$8:$Q$666666&gt;=设置!$E$23)*(个贷明细!$Q$8:$Q$666666&lt;=设置!$E$24)*(个贷明细!$N$8:$N$666666))+SUMPRODUCT((企贷明细!$M$8:$M$666666=A59)*(企贷明细!$Q$8:$Q$666666&gt;=设置!$E$23)*(企贷明细!$Q$8:$Q$666666&lt;=设置!$E$24)*(企贷明细!$N$8:$N$666666))</f>
        <v>0</v>
      </c>
      <c r="C59" s="56">
        <f>SUMPRODUCT((个贷明细!$M$8:$M$666666=A59)*(个贷明细!$Q$8:$Q$666666&lt;设置!$F$23)*(个贷明细!$R$8:$R$666666&gt;设置!$E$24)*(个贷明细!$T$8:$T$666666=0)*(个贷明细!$N$8:$N$666666))+SUMPRODUCT((个贷明细!$M$8:$M$666666=A59)*(个贷明细!$Q$8:$Q$666666&lt;设置!$F$23)*(个贷明细!$R$8:$R$666666&gt;设置!$E$24)*(个贷明细!$T$8:$T$666666&gt;设置!$E$24)*(个贷明细!$N$8:$N$666666))+SUMPRODUCT((企贷明细!$M$8:$M$666666=A59)*(企贷明细!$Q$8:$Q$666666&lt;设置!$F$23)*(企贷明细!$R$8:$R$666666&gt;设置!$E$24)*(企贷明细!$T$8:$T$666666=0)*(企贷明细!$N$8:$N$666666))+SUMPRODUCT((企贷明细!$M$8:$M$666666=A59)*(企贷明细!$Q$8:$Q$666666&lt;设置!$F$23)*(企贷明细!$R$8:$R$666666&gt;设置!$E$24)*(企贷明细!$T$8:$T$666666&gt;设置!$E$24)*(企贷明细!$N$8:$N$666666))</f>
        <v>0</v>
      </c>
      <c r="D59" s="56">
        <f t="shared" si="0"/>
        <v>0</v>
      </c>
      <c r="E59" s="56">
        <f t="shared" si="1"/>
        <v>0</v>
      </c>
      <c r="F59" s="56">
        <f>SUMPRODUCT((个贷明细!$M$8:$M$666666=A59)*(个贷明细!$AE$8:$AE$666666))+SUMPRODUCT((企贷明细!$M$8:$M$666666=A59)*(企贷明细!$AE$8:$AE$666666))</f>
        <v>0</v>
      </c>
      <c r="G59" s="56">
        <f>SUMPRODUCT((个贷明细!$M$8:$M$666666=A59)*(个贷明细!$AF$8:$AF$666666))+SUMPRODUCT((企贷明细!$M$8:$M$666666=A59)*(企贷明细!$AF$8:$AF$666666))</f>
        <v>0</v>
      </c>
      <c r="H59" s="56">
        <f>SUMPRODUCT((个贷明细!$M$8:$M$666666=A59)*(个贷明细!$AG$8:$AG$666666))+SUMPRODUCT((企贷明细!$M$8:$M$666666=A59)*(企贷明细!$AG$8:$AG$666666))</f>
        <v>0</v>
      </c>
      <c r="I59" s="56">
        <f t="shared" si="2"/>
        <v>0</v>
      </c>
      <c r="J59" s="56">
        <f>SUMPRODUCT((企贷明细!$M$8:$M$666666=A59)*(企贷明细!$AH$8:$AH$666666))</f>
        <v>0</v>
      </c>
      <c r="K59" s="56">
        <f>SUMPRODUCT((个贷明细!$M$8:$M$666666=A59)*(个贷明细!$AI$8:$AI$666666))+SUMPRODUCT((企贷明细!$M$8:$M$666666=A59)*(企贷明细!$AI$8:$AI$666666))+SUMPRODUCT((企贷明细!$M$8:$M$666666=A59)*(企贷明细!$AK$8:$AK$666666))</f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ht="14.25" spans="1:23">
      <c r="A60" s="68" t="s">
        <v>272</v>
      </c>
      <c r="B60" s="56">
        <f>SUMPRODUCT((个贷明细!$M$8:$M$666666=A60)*(个贷明细!$Q$8:$Q$666666&gt;=设置!$E$23)*(个贷明细!$Q$8:$Q$666666&lt;=设置!$E$24)*(个贷明细!$N$8:$N$666666))+SUMPRODUCT((企贷明细!$M$8:$M$666666=A60)*(企贷明细!$Q$8:$Q$666666&gt;=设置!$E$23)*(企贷明细!$Q$8:$Q$666666&lt;=设置!$E$24)*(企贷明细!$N$8:$N$666666))</f>
        <v>0</v>
      </c>
      <c r="C60" s="56">
        <f>SUMPRODUCT((个贷明细!$M$8:$M$666666=A60)*(个贷明细!$Q$8:$Q$666666&lt;设置!$F$23)*(个贷明细!$R$8:$R$666666&gt;设置!$E$24)*(个贷明细!$T$8:$T$666666=0)*(个贷明细!$N$8:$N$666666))+SUMPRODUCT((个贷明细!$M$8:$M$666666=A60)*(个贷明细!$Q$8:$Q$666666&lt;设置!$F$23)*(个贷明细!$R$8:$R$666666&gt;设置!$E$24)*(个贷明细!$T$8:$T$666666&gt;设置!$E$24)*(个贷明细!$N$8:$N$666666))+SUMPRODUCT((企贷明细!$M$8:$M$666666=A60)*(企贷明细!$Q$8:$Q$666666&lt;设置!$F$23)*(企贷明细!$R$8:$R$666666&gt;设置!$E$24)*(企贷明细!$T$8:$T$666666=0)*(企贷明细!$N$8:$N$666666))+SUMPRODUCT((企贷明细!$M$8:$M$666666=A60)*(企贷明细!$Q$8:$Q$666666&lt;设置!$F$23)*(企贷明细!$R$8:$R$666666&gt;设置!$E$24)*(企贷明细!$T$8:$T$666666&gt;设置!$E$24)*(企贷明细!$N$8:$N$666666))</f>
        <v>0</v>
      </c>
      <c r="D60" s="56">
        <f t="shared" si="0"/>
        <v>0</v>
      </c>
      <c r="E60" s="56">
        <f t="shared" si="1"/>
        <v>0</v>
      </c>
      <c r="F60" s="56">
        <f>SUMPRODUCT((个贷明细!$M$8:$M$666666=A60)*(个贷明细!$AE$8:$AE$666666))+SUMPRODUCT((企贷明细!$M$8:$M$666666=A60)*(企贷明细!$AE$8:$AE$666666))</f>
        <v>0</v>
      </c>
      <c r="G60" s="56">
        <f>SUMPRODUCT((个贷明细!$M$8:$M$666666=A60)*(个贷明细!$AF$8:$AF$666666))+SUMPRODUCT((企贷明细!$M$8:$M$666666=A60)*(企贷明细!$AF$8:$AF$666666))</f>
        <v>0</v>
      </c>
      <c r="H60" s="56">
        <f>SUMPRODUCT((个贷明细!$M$8:$M$666666=A60)*(个贷明细!$AG$8:$AG$666666))+SUMPRODUCT((企贷明细!$M$8:$M$666666=A60)*(企贷明细!$AG$8:$AG$666666))</f>
        <v>0</v>
      </c>
      <c r="I60" s="56">
        <f t="shared" si="2"/>
        <v>0</v>
      </c>
      <c r="J60" s="56">
        <f>SUMPRODUCT((企贷明细!$M$8:$M$666666=A60)*(企贷明细!$AH$8:$AH$666666))</f>
        <v>0</v>
      </c>
      <c r="K60" s="56">
        <f>SUMPRODUCT((个贷明细!$M$8:$M$666666=A60)*(个贷明细!$AI$8:$AI$666666))+SUMPRODUCT((企贷明细!$M$8:$M$666666=A60)*(企贷明细!$AI$8:$AI$666666))+SUMPRODUCT((企贷明细!$M$8:$M$666666=A60)*(企贷明细!$AK$8:$AK$666666))</f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ht="14.25" spans="1:23">
      <c r="A61" s="68" t="s">
        <v>273</v>
      </c>
      <c r="B61" s="56">
        <f>SUMPRODUCT((个贷明细!$M$8:$M$666666=A61)*(个贷明细!$Q$8:$Q$666666&gt;=设置!$E$23)*(个贷明细!$Q$8:$Q$666666&lt;=设置!$E$24)*(个贷明细!$N$8:$N$666666))+SUMPRODUCT((企贷明细!$M$8:$M$666666=A61)*(企贷明细!$Q$8:$Q$666666&gt;=设置!$E$23)*(企贷明细!$Q$8:$Q$666666&lt;=设置!$E$24)*(企贷明细!$N$8:$N$666666))</f>
        <v>0</v>
      </c>
      <c r="C61" s="56">
        <f>SUMPRODUCT((个贷明细!$M$8:$M$666666=A61)*(个贷明细!$Q$8:$Q$666666&lt;设置!$F$23)*(个贷明细!$R$8:$R$666666&gt;设置!$E$24)*(个贷明细!$T$8:$T$666666=0)*(个贷明细!$N$8:$N$666666))+SUMPRODUCT((个贷明细!$M$8:$M$666666=A61)*(个贷明细!$Q$8:$Q$666666&lt;设置!$F$23)*(个贷明细!$R$8:$R$666666&gt;设置!$E$24)*(个贷明细!$T$8:$T$666666&gt;设置!$E$24)*(个贷明细!$N$8:$N$666666))+SUMPRODUCT((企贷明细!$M$8:$M$666666=A61)*(企贷明细!$Q$8:$Q$666666&lt;设置!$F$23)*(企贷明细!$R$8:$R$666666&gt;设置!$E$24)*(企贷明细!$T$8:$T$666666=0)*(企贷明细!$N$8:$N$666666))+SUMPRODUCT((企贷明细!$M$8:$M$666666=A61)*(企贷明细!$Q$8:$Q$666666&lt;设置!$F$23)*(企贷明细!$R$8:$R$666666&gt;设置!$E$24)*(企贷明细!$T$8:$T$666666&gt;设置!$E$24)*(企贷明细!$N$8:$N$666666))</f>
        <v>0</v>
      </c>
      <c r="D61" s="56">
        <f t="shared" si="0"/>
        <v>0</v>
      </c>
      <c r="E61" s="56">
        <f t="shared" si="1"/>
        <v>0</v>
      </c>
      <c r="F61" s="56">
        <f>SUMPRODUCT((个贷明细!$M$8:$M$666666=A61)*(个贷明细!$AE$8:$AE$666666))+SUMPRODUCT((企贷明细!$M$8:$M$666666=A61)*(企贷明细!$AE$8:$AE$666666))</f>
        <v>0</v>
      </c>
      <c r="G61" s="56">
        <f>SUMPRODUCT((个贷明细!$M$8:$M$666666=A61)*(个贷明细!$AF$8:$AF$666666))+SUMPRODUCT((企贷明细!$M$8:$M$666666=A61)*(企贷明细!$AF$8:$AF$666666))</f>
        <v>0</v>
      </c>
      <c r="H61" s="56">
        <f>SUMPRODUCT((个贷明细!$M$8:$M$666666=A61)*(个贷明细!$AG$8:$AG$666666))+SUMPRODUCT((企贷明细!$M$8:$M$666666=A61)*(企贷明细!$AG$8:$AG$666666))</f>
        <v>0</v>
      </c>
      <c r="I61" s="56">
        <f t="shared" si="2"/>
        <v>0</v>
      </c>
      <c r="J61" s="56">
        <f>SUMPRODUCT((企贷明细!$M$8:$M$666666=A61)*(企贷明细!$AH$8:$AH$666666))</f>
        <v>0</v>
      </c>
      <c r="K61" s="56">
        <f>SUMPRODUCT((个贷明细!$M$8:$M$666666=A61)*(个贷明细!$AI$8:$AI$666666))+SUMPRODUCT((企贷明细!$M$8:$M$666666=A61)*(企贷明细!$AI$8:$AI$666666))+SUMPRODUCT((企贷明细!$M$8:$M$666666=A61)*(企贷明细!$AK$8:$AK$666666))</f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ht="14.25" spans="1:23">
      <c r="A62" s="76" t="s">
        <v>274</v>
      </c>
      <c r="B62" s="56">
        <f>SUMPRODUCT((个贷明细!$M$8:$M$666666=A62)*(个贷明细!$Q$8:$Q$666666&gt;=设置!$E$23)*(个贷明细!$Q$8:$Q$666666&lt;=设置!$E$24)*(个贷明细!$N$8:$N$666666))+SUMPRODUCT((企贷明细!$M$8:$M$666666=A62)*(企贷明细!$Q$8:$Q$666666&gt;=设置!$E$23)*(企贷明细!$Q$8:$Q$666666&lt;=设置!$E$24)*(企贷明细!$N$8:$N$666666))</f>
        <v>0</v>
      </c>
      <c r="C62" s="56">
        <f>SUMPRODUCT((个贷明细!$M$8:$M$666666=A62)*(个贷明细!$Q$8:$Q$666666&lt;设置!$F$23)*(个贷明细!$R$8:$R$666666&gt;设置!$E$24)*(个贷明细!$T$8:$T$666666=0)*(个贷明细!$N$8:$N$666666))+SUMPRODUCT((个贷明细!$M$8:$M$666666=A62)*(个贷明细!$Q$8:$Q$666666&lt;设置!$F$23)*(个贷明细!$R$8:$R$666666&gt;设置!$E$24)*(个贷明细!$T$8:$T$666666&gt;设置!$E$24)*(个贷明细!$N$8:$N$666666))+SUMPRODUCT((企贷明细!$M$8:$M$666666=A62)*(企贷明细!$Q$8:$Q$666666&lt;设置!$F$23)*(企贷明细!$R$8:$R$666666&gt;设置!$E$24)*(企贷明细!$T$8:$T$666666=0)*(企贷明细!$N$8:$N$666666))+SUMPRODUCT((企贷明细!$M$8:$M$666666=A62)*(企贷明细!$Q$8:$Q$666666&lt;设置!$F$23)*(企贷明细!$R$8:$R$666666&gt;设置!$E$24)*(企贷明细!$T$8:$T$666666&gt;设置!$E$24)*(企贷明细!$N$8:$N$666666))</f>
        <v>0</v>
      </c>
      <c r="D62" s="56">
        <f t="shared" si="0"/>
        <v>0</v>
      </c>
      <c r="E62" s="56">
        <f t="shared" si="1"/>
        <v>0</v>
      </c>
      <c r="F62" s="56">
        <f>SUMPRODUCT((个贷明细!$M$8:$M$666666=A62)*(个贷明细!$AE$8:$AE$666666))+SUMPRODUCT((企贷明细!$M$8:$M$666666=A62)*(企贷明细!$AE$8:$AE$666666))</f>
        <v>0</v>
      </c>
      <c r="G62" s="56">
        <f>SUMPRODUCT((个贷明细!$M$8:$M$666666=A62)*(个贷明细!$AF$8:$AF$666666))+SUMPRODUCT((企贷明细!$M$8:$M$666666=A62)*(企贷明细!$AF$8:$AF$666666))</f>
        <v>0</v>
      </c>
      <c r="H62" s="56">
        <f>SUMPRODUCT((个贷明细!$M$8:$M$666666=A62)*(个贷明细!$AG$8:$AG$666666))+SUMPRODUCT((企贷明细!$M$8:$M$666666=A62)*(企贷明细!$AG$8:$AG$666666))</f>
        <v>0</v>
      </c>
      <c r="I62" s="56">
        <f t="shared" si="2"/>
        <v>0</v>
      </c>
      <c r="J62" s="56">
        <f>SUMPRODUCT((企贷明细!$M$8:$M$666666=A62)*(企贷明细!$AH$8:$AH$666666))</f>
        <v>0</v>
      </c>
      <c r="K62" s="56">
        <f>SUMPRODUCT((个贷明细!$M$8:$M$666666=A62)*(个贷明细!$AI$8:$AI$666666))+SUMPRODUCT((企贷明细!$M$8:$M$666666=A62)*(企贷明细!$AI$8:$AI$666666))+SUMPRODUCT((企贷明细!$M$8:$M$666666=A62)*(企贷明细!$AK$8:$AK$666666))</f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ht="14.25" spans="1:23">
      <c r="A63" s="76" t="s">
        <v>275</v>
      </c>
      <c r="B63" s="56">
        <f>SUMPRODUCT((个贷明细!$M$8:$M$666666=A63)*(个贷明细!$Q$8:$Q$666666&gt;=设置!$E$23)*(个贷明细!$Q$8:$Q$666666&lt;=设置!$E$24)*(个贷明细!$N$8:$N$666666))+SUMPRODUCT((企贷明细!$M$8:$M$666666=A63)*(企贷明细!$Q$8:$Q$666666&gt;=设置!$E$23)*(企贷明细!$Q$8:$Q$666666&lt;=设置!$E$24)*(企贷明细!$N$8:$N$666666))</f>
        <v>0</v>
      </c>
      <c r="C63" s="56">
        <f>SUMPRODUCT((个贷明细!$M$8:$M$666666=A63)*(个贷明细!$Q$8:$Q$666666&lt;设置!$F$23)*(个贷明细!$R$8:$R$666666&gt;设置!$E$24)*(个贷明细!$T$8:$T$666666=0)*(个贷明细!$N$8:$N$666666))+SUMPRODUCT((个贷明细!$M$8:$M$666666=A63)*(个贷明细!$Q$8:$Q$666666&lt;设置!$F$23)*(个贷明细!$R$8:$R$666666&gt;设置!$E$24)*(个贷明细!$T$8:$T$666666&gt;设置!$E$24)*(个贷明细!$N$8:$N$666666))+SUMPRODUCT((企贷明细!$M$8:$M$666666=A63)*(企贷明细!$Q$8:$Q$666666&lt;设置!$F$23)*(企贷明细!$R$8:$R$666666&gt;设置!$E$24)*(企贷明细!$T$8:$T$666666=0)*(企贷明细!$N$8:$N$666666))+SUMPRODUCT((企贷明细!$M$8:$M$666666=A63)*(企贷明细!$Q$8:$Q$666666&lt;设置!$F$23)*(企贷明细!$R$8:$R$666666&gt;设置!$E$24)*(企贷明细!$T$8:$T$666666&gt;设置!$E$24)*(企贷明细!$N$8:$N$666666))</f>
        <v>0</v>
      </c>
      <c r="D63" s="56">
        <f t="shared" si="0"/>
        <v>0</v>
      </c>
      <c r="E63" s="56">
        <f t="shared" si="1"/>
        <v>0</v>
      </c>
      <c r="F63" s="56">
        <f>SUMPRODUCT((个贷明细!$M$8:$M$666666=A63)*(个贷明细!$AE$8:$AE$666666))+SUMPRODUCT((企贷明细!$M$8:$M$666666=A63)*(企贷明细!$AE$8:$AE$666666))</f>
        <v>0</v>
      </c>
      <c r="G63" s="56">
        <f>SUMPRODUCT((个贷明细!$M$8:$M$666666=A63)*(个贷明细!$AF$8:$AF$666666))+SUMPRODUCT((企贷明细!$M$8:$M$666666=A63)*(企贷明细!$AF$8:$AF$666666))</f>
        <v>0</v>
      </c>
      <c r="H63" s="56">
        <f>SUMPRODUCT((个贷明细!$M$8:$M$666666=A63)*(个贷明细!$AG$8:$AG$666666))+SUMPRODUCT((企贷明细!$M$8:$M$666666=A63)*(企贷明细!$AG$8:$AG$666666))</f>
        <v>0</v>
      </c>
      <c r="I63" s="56">
        <f t="shared" si="2"/>
        <v>0</v>
      </c>
      <c r="J63" s="56">
        <f>SUMPRODUCT((企贷明细!$M$8:$M$666666=A63)*(企贷明细!$AH$8:$AH$666666))</f>
        <v>0</v>
      </c>
      <c r="K63" s="56">
        <f>SUMPRODUCT((个贷明细!$M$8:$M$666666=A63)*(个贷明细!$AI$8:$AI$666666))+SUMPRODUCT((企贷明细!$M$8:$M$666666=A63)*(企贷明细!$AI$8:$AI$666666))+SUMPRODUCT((企贷明细!$M$8:$M$666666=A63)*(企贷明细!$AK$8:$AK$666666))</f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ht="14.25" spans="1:23">
      <c r="A64" s="76" t="s">
        <v>276</v>
      </c>
      <c r="B64" s="56">
        <f>SUMPRODUCT((个贷明细!$M$8:$M$666666=A64)*(个贷明细!$Q$8:$Q$666666&gt;=设置!$E$23)*(个贷明细!$Q$8:$Q$666666&lt;=设置!$E$24)*(个贷明细!$N$8:$N$666666))+SUMPRODUCT((企贷明细!$M$8:$M$666666=A64)*(企贷明细!$Q$8:$Q$666666&gt;=设置!$E$23)*(企贷明细!$Q$8:$Q$666666&lt;=设置!$E$24)*(企贷明细!$N$8:$N$666666))</f>
        <v>0</v>
      </c>
      <c r="C64" s="56">
        <f>SUMPRODUCT((个贷明细!$M$8:$M$666666=A64)*(个贷明细!$Q$8:$Q$666666&lt;设置!$F$23)*(个贷明细!$R$8:$R$666666&gt;设置!$E$24)*(个贷明细!$T$8:$T$666666=0)*(个贷明细!$N$8:$N$666666))+SUMPRODUCT((个贷明细!$M$8:$M$666666=A64)*(个贷明细!$Q$8:$Q$666666&lt;设置!$F$23)*(个贷明细!$R$8:$R$666666&gt;设置!$E$24)*(个贷明细!$T$8:$T$666666&gt;设置!$E$24)*(个贷明细!$N$8:$N$666666))+SUMPRODUCT((企贷明细!$M$8:$M$666666=A64)*(企贷明细!$Q$8:$Q$666666&lt;设置!$F$23)*(企贷明细!$R$8:$R$666666&gt;设置!$E$24)*(企贷明细!$T$8:$T$666666=0)*(企贷明细!$N$8:$N$666666))+SUMPRODUCT((企贷明细!$M$8:$M$666666=A64)*(企贷明细!$Q$8:$Q$666666&lt;设置!$F$23)*(企贷明细!$R$8:$R$666666&gt;设置!$E$24)*(企贷明细!$T$8:$T$666666&gt;设置!$E$24)*(企贷明细!$N$8:$N$666666))</f>
        <v>0</v>
      </c>
      <c r="D64" s="56">
        <f t="shared" si="0"/>
        <v>0</v>
      </c>
      <c r="E64" s="56">
        <f t="shared" si="1"/>
        <v>0</v>
      </c>
      <c r="F64" s="56">
        <f>SUMPRODUCT((个贷明细!$M$8:$M$666666=A64)*(个贷明细!$AE$8:$AE$666666))+SUMPRODUCT((企贷明细!$M$8:$M$666666=A64)*(企贷明细!$AE$8:$AE$666666))</f>
        <v>0</v>
      </c>
      <c r="G64" s="56">
        <f>SUMPRODUCT((个贷明细!$M$8:$M$666666=A64)*(个贷明细!$AF$8:$AF$666666))+SUMPRODUCT((企贷明细!$M$8:$M$666666=A64)*(企贷明细!$AF$8:$AF$666666))</f>
        <v>0</v>
      </c>
      <c r="H64" s="56">
        <f>SUMPRODUCT((个贷明细!$M$8:$M$666666=A64)*(个贷明细!$AG$8:$AG$666666))+SUMPRODUCT((企贷明细!$M$8:$M$666666=A64)*(企贷明细!$AG$8:$AG$666666))</f>
        <v>0</v>
      </c>
      <c r="I64" s="56">
        <f t="shared" si="2"/>
        <v>0</v>
      </c>
      <c r="J64" s="56">
        <f>SUMPRODUCT((企贷明细!$M$8:$M$666666=A64)*(企贷明细!$AH$8:$AH$666666))</f>
        <v>0</v>
      </c>
      <c r="K64" s="56">
        <f>SUMPRODUCT((个贷明细!$M$8:$M$666666=A64)*(个贷明细!$AI$8:$AI$666666))+SUMPRODUCT((企贷明细!$M$8:$M$666666=A64)*(企贷明细!$AI$8:$AI$666666))+SUMPRODUCT((企贷明细!$M$8:$M$666666=A64)*(企贷明细!$AK$8:$AK$666666))</f>
        <v>0</v>
      </c>
      <c r="L64"/>
      <c r="M64"/>
      <c r="N64"/>
      <c r="O64"/>
      <c r="P64"/>
      <c r="Q64"/>
      <c r="R64"/>
      <c r="S64"/>
      <c r="T64"/>
      <c r="U64"/>
      <c r="V64"/>
      <c r="W64"/>
    </row>
  </sheetData>
  <sheetProtection password="CB92" sheet="1" formatColumns="0" objects="1"/>
  <mergeCells count="61">
    <mergeCell ref="B3:D3"/>
    <mergeCell ref="E3:M3"/>
    <mergeCell ref="N3:P3"/>
    <mergeCell ref="E4:G4"/>
    <mergeCell ref="H4:J4"/>
    <mergeCell ref="K4:M4"/>
    <mergeCell ref="B11:D11"/>
    <mergeCell ref="E11:M11"/>
    <mergeCell ref="E12:G12"/>
    <mergeCell ref="H12:J12"/>
    <mergeCell ref="K12:M12"/>
    <mergeCell ref="B19:W19"/>
    <mergeCell ref="B20:I20"/>
    <mergeCell ref="J20:O20"/>
    <mergeCell ref="P20:W20"/>
    <mergeCell ref="C21:F21"/>
    <mergeCell ref="G21:I21"/>
    <mergeCell ref="K21:N21"/>
    <mergeCell ref="Q21:T21"/>
    <mergeCell ref="U21:W21"/>
    <mergeCell ref="D31:K31"/>
    <mergeCell ref="E32:H32"/>
    <mergeCell ref="I32:K32"/>
    <mergeCell ref="A3:A6"/>
    <mergeCell ref="A11:A14"/>
    <mergeCell ref="A19:A22"/>
    <mergeCell ref="A31:A33"/>
    <mergeCell ref="B4:B6"/>
    <mergeCell ref="B12:B14"/>
    <mergeCell ref="B21:B22"/>
    <mergeCell ref="B31:B33"/>
    <mergeCell ref="C4:C6"/>
    <mergeCell ref="C12:C14"/>
    <mergeCell ref="C31:C33"/>
    <mergeCell ref="D4:D6"/>
    <mergeCell ref="D12:D14"/>
    <mergeCell ref="D32:D33"/>
    <mergeCell ref="E5:E6"/>
    <mergeCell ref="E13:E14"/>
    <mergeCell ref="F5:F6"/>
    <mergeCell ref="F13:F14"/>
    <mergeCell ref="G5:G6"/>
    <mergeCell ref="G13:G14"/>
    <mergeCell ref="H5:H6"/>
    <mergeCell ref="H13:H14"/>
    <mergeCell ref="I5:I6"/>
    <mergeCell ref="I13:I14"/>
    <mergeCell ref="J5:J6"/>
    <mergeCell ref="J13:J14"/>
    <mergeCell ref="J21:J22"/>
    <mergeCell ref="K5:K6"/>
    <mergeCell ref="K13:K14"/>
    <mergeCell ref="L5:L6"/>
    <mergeCell ref="L13:L14"/>
    <mergeCell ref="M5:M6"/>
    <mergeCell ref="M13:M14"/>
    <mergeCell ref="N5:N6"/>
    <mergeCell ref="O5:O6"/>
    <mergeCell ref="O21:O22"/>
    <mergeCell ref="P5:P6"/>
    <mergeCell ref="P21:P22"/>
  </mergeCells>
  <pageMargins left="0.751388888888889" right="0.751388888888889" top="1" bottom="1" header="0.5" footer="0.5"/>
  <pageSetup paperSize="9" scale="65" orientation="landscape" horizontalDpi="600"/>
  <headerFooter>
    <oddHeader>&amp;L内部资料，禁止外传</oddHeader>
  </headerFooter>
  <rowBreaks count="1" manualBreakCount="1">
    <brk id="27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W64"/>
  <sheetViews>
    <sheetView showZeros="0" workbookViewId="0">
      <pane xSplit="1" topLeftCell="B1" activePane="topRight" state="frozen"/>
      <selection/>
      <selection pane="topRight" activeCell="A1" sqref="A1"/>
    </sheetView>
  </sheetViews>
  <sheetFormatPr defaultColWidth="8.725" defaultRowHeight="13.5"/>
  <cols>
    <col min="1" max="1" width="13.75" style="39" customWidth="1"/>
    <col min="2" max="23" width="8.5" style="39" customWidth="1"/>
    <col min="24" max="16384" width="8.725" style="39"/>
  </cols>
  <sheetData>
    <row r="1" s="39" customFormat="1" ht="18.75" spans="1:1">
      <c r="A1" s="74" t="str">
        <f>设置!B22&amp;(IF(YEAR(设置!D23)&lt;2021/1/1,"0000",YEAR(设置!D23)))&amp;设置!C28&amp;设置!A24&amp;设置!C26</f>
        <v>***市县2025年创业担保贷款财政贴息统计表(上半年)</v>
      </c>
    </row>
    <row r="2" s="40" customFormat="1" ht="14.25" spans="2:23">
      <c r="B2" s="43"/>
      <c r="C2" s="43"/>
      <c r="D2" s="43"/>
      <c r="E2" s="44"/>
      <c r="F2" s="44"/>
      <c r="G2" s="45"/>
      <c r="H2" s="44"/>
      <c r="I2" s="44"/>
      <c r="J2" s="45"/>
      <c r="K2" s="44"/>
      <c r="L2" s="44"/>
      <c r="M2" s="45"/>
      <c r="N2" s="43"/>
      <c r="O2" s="43"/>
      <c r="P2" s="69" t="s">
        <v>228</v>
      </c>
      <c r="Q2" s="43"/>
      <c r="R2" s="43"/>
      <c r="S2" s="43"/>
      <c r="T2" s="44"/>
      <c r="U2" s="44"/>
      <c r="V2" s="45"/>
      <c r="W2" s="44"/>
    </row>
    <row r="3" s="41" customFormat="1" ht="12" spans="1:16">
      <c r="A3" s="46" t="s">
        <v>229</v>
      </c>
      <c r="B3" s="47" t="s">
        <v>230</v>
      </c>
      <c r="C3" s="47"/>
      <c r="D3" s="47"/>
      <c r="E3" s="48" t="s">
        <v>231</v>
      </c>
      <c r="F3" s="48"/>
      <c r="G3" s="48"/>
      <c r="H3" s="48"/>
      <c r="I3" s="48"/>
      <c r="J3" s="48"/>
      <c r="K3" s="48"/>
      <c r="L3" s="48"/>
      <c r="M3" s="48"/>
      <c r="N3" s="47" t="s">
        <v>232</v>
      </c>
      <c r="O3" s="47"/>
      <c r="P3" s="47"/>
    </row>
    <row r="4" s="41" customFormat="1" ht="12" spans="1:16">
      <c r="A4" s="49"/>
      <c r="B4" s="50" t="s">
        <v>204</v>
      </c>
      <c r="C4" s="50" t="s">
        <v>111</v>
      </c>
      <c r="D4" s="50" t="s">
        <v>233</v>
      </c>
      <c r="E4" s="51" t="s">
        <v>204</v>
      </c>
      <c r="F4" s="51"/>
      <c r="G4" s="51"/>
      <c r="H4" s="51" t="s">
        <v>111</v>
      </c>
      <c r="I4" s="51"/>
      <c r="J4" s="51"/>
      <c r="K4" s="51" t="s">
        <v>233</v>
      </c>
      <c r="L4" s="51"/>
      <c r="M4" s="51"/>
      <c r="N4" s="51" t="s">
        <v>204</v>
      </c>
      <c r="O4" s="51" t="s">
        <v>111</v>
      </c>
      <c r="P4" s="51" t="s">
        <v>233</v>
      </c>
    </row>
    <row r="5" s="41" customFormat="1" ht="26" customHeight="1" spans="1:16">
      <c r="A5" s="49"/>
      <c r="B5" s="50"/>
      <c r="C5" s="50"/>
      <c r="D5" s="50"/>
      <c r="E5" s="52" t="s">
        <v>204</v>
      </c>
      <c r="F5" s="52" t="s">
        <v>234</v>
      </c>
      <c r="G5" s="52" t="s">
        <v>235</v>
      </c>
      <c r="H5" s="52" t="s">
        <v>204</v>
      </c>
      <c r="I5" s="52" t="s">
        <v>234</v>
      </c>
      <c r="J5" s="52" t="s">
        <v>235</v>
      </c>
      <c r="K5" s="52" t="s">
        <v>204</v>
      </c>
      <c r="L5" s="52" t="s">
        <v>234</v>
      </c>
      <c r="M5" s="52" t="s">
        <v>235</v>
      </c>
      <c r="N5" s="52" t="s">
        <v>204</v>
      </c>
      <c r="O5" s="52" t="s">
        <v>234</v>
      </c>
      <c r="P5" s="52" t="s">
        <v>234</v>
      </c>
    </row>
    <row r="6" ht="26" customHeight="1" spans="1:16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ht="14.25" spans="1:16">
      <c r="A7" s="55" t="str">
        <f>设置!$B$22</f>
        <v>***市县</v>
      </c>
      <c r="B7" s="56">
        <f t="shared" ref="B7:B9" si="0">SUM(C7:D7)</f>
        <v>0</v>
      </c>
      <c r="C7" s="56">
        <f>SUMPRODUCT((个贷明细!P8:P666666&gt;=设置!E23)*(个贷明细!P8:P666666&lt;=设置!F24)*(个贷明细!AA8:AA666666&gt;0)*(1))</f>
        <v>0</v>
      </c>
      <c r="D7" s="56">
        <f>SUMPRODUCT((企贷明细!P8:P666666&gt;=设置!E23)*(企贷明细!P8:P666666&lt;=设置!F24)*(企贷明细!AA8:AA666666&gt;0)*(1))</f>
        <v>0</v>
      </c>
      <c r="E7" s="56">
        <f t="shared" ref="E7:E9" si="1">SUM(F7:G7)</f>
        <v>0</v>
      </c>
      <c r="F7" s="56">
        <f t="shared" ref="F7:F9" si="2">SUM(I7,L7)</f>
        <v>0</v>
      </c>
      <c r="G7" s="56">
        <f t="shared" ref="G7:G9" si="3">SUM(J7,M7)</f>
        <v>0</v>
      </c>
      <c r="H7" s="56">
        <f t="shared" ref="H7:H9" si="4">SUM(I7:J7)</f>
        <v>0</v>
      </c>
      <c r="I7" s="56">
        <f>SUMPRODUCT((个贷明细!P8:P666666&gt;=设置!E23)*(个贷明细!P8:P666666&lt;=设置!F24)*(个贷明细!AA8:AA666666))</f>
        <v>0</v>
      </c>
      <c r="J7" s="56">
        <f>SUMPRODUCT((个贷明细!P8:P666666&gt;=设置!E23)*(个贷明细!P8:P666666&lt;=设置!F24)*(个贷明细!AB8:AB666666))</f>
        <v>0</v>
      </c>
      <c r="K7" s="56">
        <f t="shared" ref="K7:K9" si="5">SUM(L7:M7)</f>
        <v>0</v>
      </c>
      <c r="L7" s="56">
        <f>SUMPRODUCT((企贷明细!P8:P666666&gt;=设置!E23)*(企贷明细!P8:P666666&lt;=设置!F24)*(企贷明细!AA8:AA666666))</f>
        <v>0</v>
      </c>
      <c r="M7" s="56">
        <f>SUMPRODUCT((企贷明细!P8:P666666&gt;=设置!E23)*(企贷明细!P8:P666666&lt;=设置!F24)*(企贷明细!AB8:AB666666))</f>
        <v>0</v>
      </c>
      <c r="N7" s="56">
        <f t="shared" ref="N7:N9" si="6">SUM(O7:P7)</f>
        <v>0</v>
      </c>
      <c r="O7" s="56">
        <f>SUMPRODUCT((个贷明细!N8:N666666&lt;&gt;0)*(个贷明细!P8:P666666&gt;=设置!E23)*(个贷明细!P8:P666666&lt;=设置!F24)*(个贷明细!I8:I666666="个人")*(1))+SUMPRODUCT((个贷明细!N8:N666666&lt;&gt;0)*(个贷明细!P8:P666666&gt;=设置!E23)*(个贷明细!P8:P666666&lt;=设置!F24)*(个贷明细!I8:I666666="合伙")*(个贷明细!J8:J666666))</f>
        <v>0</v>
      </c>
      <c r="P7" s="56">
        <f>SUMPRODUCT((企贷明细!N8:N666666&lt;&gt;0)*(企贷明细!P8:P666666&gt;=设置!E23)*(企贷明细!P8:P666666&lt;=设置!F24)*(企贷明细!J8:J666666))</f>
        <v>0</v>
      </c>
    </row>
    <row r="8" ht="14.25" spans="1:16">
      <c r="A8" s="57" t="s">
        <v>236</v>
      </c>
      <c r="B8" s="56">
        <f t="shared" si="0"/>
        <v>0</v>
      </c>
      <c r="C8" s="56">
        <f>SUMPRODUCT((个贷明细!P8:P666666&gt;=设置!J23)*(个贷明细!P8:P666666&gt;=设置!E23)*(个贷明细!P8:P666666&lt;=设置!F24)*(个贷明细!AA8:AA666666&gt;0)*(1))</f>
        <v>0</v>
      </c>
      <c r="D8" s="56">
        <f>SUMPRODUCT((企贷明细!P8:P666666&gt;=设置!J23)*(企贷明细!P8:P666666&gt;=设置!E23)*(企贷明细!P8:P666666&lt;=设置!F24)*(企贷明细!AA8:AA666666&gt;0)*(1))</f>
        <v>0</v>
      </c>
      <c r="E8" s="56">
        <f t="shared" si="1"/>
        <v>0</v>
      </c>
      <c r="F8" s="56">
        <f t="shared" si="2"/>
        <v>0</v>
      </c>
      <c r="G8" s="56">
        <f t="shared" si="3"/>
        <v>0</v>
      </c>
      <c r="H8" s="56">
        <f t="shared" si="4"/>
        <v>0</v>
      </c>
      <c r="I8" s="56">
        <f>SUMPRODUCT((个贷明细!P8:P666666&gt;=设置!J23)*(个贷明细!P8:P666666&gt;=设置!E23)*(个贷明细!P8:P666666&lt;=设置!F24)*(个贷明细!AA8:AA666666))</f>
        <v>0</v>
      </c>
      <c r="J8" s="56">
        <f>SUMPRODUCT((个贷明细!P8:P666666&gt;=设置!J23)*(个贷明细!P8:P666666&gt;=设置!E23)*(个贷明细!P8:P666666&lt;=设置!F24)*(个贷明细!AB8:AB666666))</f>
        <v>0</v>
      </c>
      <c r="K8" s="56">
        <f t="shared" si="5"/>
        <v>0</v>
      </c>
      <c r="L8" s="56">
        <f>SUMPRODUCT((企贷明细!P8:P666666&gt;=设置!J23)*(企贷明细!P8:P666666&gt;=设置!E23)*(企贷明细!P8:P666666&lt;=设置!F24)*(企贷明细!AA8:AA666666))</f>
        <v>0</v>
      </c>
      <c r="M8" s="56">
        <f>SUMPRODUCT((企贷明细!P8:P666666&gt;=设置!J23)*(企贷明细!P8:P666666&gt;=设置!E23)*(企贷明细!P8:P666666&lt;=设置!F24)*(企贷明细!AB8:AB666666))</f>
        <v>0</v>
      </c>
      <c r="N8" s="56">
        <f t="shared" si="6"/>
        <v>0</v>
      </c>
      <c r="O8" s="56">
        <f>SUMPRODUCT((个贷明细!N8:N666666&lt;&gt;0)*(个贷明细!P8:P666666&gt;=设置!J23)*(个贷明细!P8:P666666&gt;=设置!E23)*(个贷明细!P8:P666666&lt;=设置!F24)*(个贷明细!I8:I666666="个人")*(1))+SUMPRODUCT((个贷明细!N8:N666666&lt;&gt;0)*(个贷明细!P8:P666666&gt;=设置!J23)*(个贷明细!P8:P666666&gt;=设置!E23)*(个贷明细!P8:P666666&lt;=设置!F24)*(个贷明细!I8:I666666="合伙")*(个贷明细!J8:J666666))</f>
        <v>0</v>
      </c>
      <c r="P8" s="56">
        <f>SUMPRODUCT((企贷明细!N8:N666666&lt;&gt;0)*(企贷明细!P8:P666666&gt;=设置!J23)*(企贷明细!P8:P666666&gt;=设置!E23)*(企贷明细!P8:P666666&lt;=设置!F24)*(企贷明细!J8:J666666))</f>
        <v>0</v>
      </c>
    </row>
    <row r="9" ht="14.25" spans="1:16">
      <c r="A9" s="57" t="s">
        <v>237</v>
      </c>
      <c r="B9" s="56">
        <f t="shared" si="0"/>
        <v>0</v>
      </c>
      <c r="C9" s="56">
        <f>SUMPRODUCT((个贷明细!P8:P666666&lt;设置!J23)*(个贷明细!P8:P666666&gt;=设置!E23)*(个贷明细!P8:P666666&lt;=设置!F24)*(个贷明细!AA8:AA666666&gt;0)*(1))</f>
        <v>0</v>
      </c>
      <c r="D9" s="56">
        <f>SUMPRODUCT((企贷明细!P8:P666666&lt;设置!J23)*(企贷明细!P8:P666666&gt;=设置!E23)*(企贷明细!P8:P666666&lt;=设置!F24)*(企贷明细!AA8:AA666666&gt;0)*(1))</f>
        <v>0</v>
      </c>
      <c r="E9" s="56">
        <f t="shared" si="1"/>
        <v>0</v>
      </c>
      <c r="F9" s="56">
        <f t="shared" si="2"/>
        <v>0</v>
      </c>
      <c r="G9" s="56">
        <f t="shared" si="3"/>
        <v>0</v>
      </c>
      <c r="H9" s="56">
        <f t="shared" si="4"/>
        <v>0</v>
      </c>
      <c r="I9" s="56">
        <f>SUMPRODUCT((个贷明细!P8:P666666&lt;设置!J23)*(个贷明细!P8:P666666&gt;=设置!E23)*(个贷明细!P8:P666666&lt;=设置!F24)*(个贷明细!AA8:AA666666))</f>
        <v>0</v>
      </c>
      <c r="J9" s="56">
        <f>SUMPRODUCT((个贷明细!P8:P666666&lt;设置!J23)*(个贷明细!P8:P666666&gt;=设置!E23)*(个贷明细!P8:P666666&lt;=设置!F24)*(个贷明细!AB8:AB666666))</f>
        <v>0</v>
      </c>
      <c r="K9" s="56">
        <f t="shared" si="5"/>
        <v>0</v>
      </c>
      <c r="L9" s="56">
        <f>SUMPRODUCT((企贷明细!P8:P666666&lt;设置!J23)*(企贷明细!P8:P666666&gt;=设置!E23)*(企贷明细!P8:P666666&lt;=设置!F24)*(企贷明细!AA8:AA666666))</f>
        <v>0</v>
      </c>
      <c r="M9" s="56">
        <f>SUMPRODUCT((企贷明细!P8:P666666&lt;设置!J23)*(企贷明细!P8:P666666&gt;=设置!E23)*(企贷明细!P8:P666666&lt;=设置!F24)*(企贷明细!AB8:AB666666))</f>
        <v>0</v>
      </c>
      <c r="N9" s="56">
        <f t="shared" si="6"/>
        <v>0</v>
      </c>
      <c r="O9" s="56">
        <f>SUMPRODUCT((个贷明细!N8:N666666&lt;&gt;0)*(个贷明细!P8:P666666&lt;设置!J23)*(个贷明细!P8:P666666&gt;=设置!E23)*(个贷明细!P8:P666666&lt;=设置!F24)*(个贷明细!I8:I666666="个人")*(1))+SUMPRODUCT((个贷明细!N8:N666666&lt;&gt;0)*(个贷明细!P8:P666666&lt;设置!J23)*(个贷明细!P8:P666666&gt;=设置!E23)*(个贷明细!P8:P666666&lt;=设置!F24)*(个贷明细!I8:I666666="合伙")*(个贷明细!J8:J666666))</f>
        <v>0</v>
      </c>
      <c r="P9" s="56">
        <f>SUMPRODUCT((企贷明细!N8:N666666&lt;&gt;0)*(企贷明细!P8:P666666&lt;设置!J23)*(企贷明细!P8:P666666&gt;=设置!E23)*(企贷明细!P8:P666666&lt;=设置!F24)*(企贷明细!J8:J666666))</f>
        <v>0</v>
      </c>
    </row>
    <row r="11" spans="1:13">
      <c r="A11" s="46" t="s">
        <v>229</v>
      </c>
      <c r="B11" s="47" t="s">
        <v>238</v>
      </c>
      <c r="C11" s="47"/>
      <c r="D11" s="47"/>
      <c r="E11" s="48" t="s">
        <v>239</v>
      </c>
      <c r="F11" s="48"/>
      <c r="G11" s="48"/>
      <c r="H11" s="48"/>
      <c r="I11" s="48"/>
      <c r="J11" s="48"/>
      <c r="K11" s="48"/>
      <c r="L11" s="48"/>
      <c r="M11" s="48"/>
    </row>
    <row r="12" spans="1:13">
      <c r="A12" s="49"/>
      <c r="B12" s="52" t="s">
        <v>204</v>
      </c>
      <c r="C12" s="52" t="s">
        <v>111</v>
      </c>
      <c r="D12" s="52" t="s">
        <v>233</v>
      </c>
      <c r="E12" s="51" t="s">
        <v>204</v>
      </c>
      <c r="F12" s="51"/>
      <c r="G12" s="51"/>
      <c r="H12" s="51" t="s">
        <v>111</v>
      </c>
      <c r="I12" s="51"/>
      <c r="J12" s="51"/>
      <c r="K12" s="51" t="s">
        <v>233</v>
      </c>
      <c r="L12" s="51"/>
      <c r="M12" s="51"/>
    </row>
    <row r="13" spans="1:13">
      <c r="A13" s="49"/>
      <c r="B13" s="50"/>
      <c r="C13" s="50"/>
      <c r="D13" s="50"/>
      <c r="E13" s="58" t="s">
        <v>204</v>
      </c>
      <c r="F13" s="58" t="s">
        <v>234</v>
      </c>
      <c r="G13" s="58" t="s">
        <v>235</v>
      </c>
      <c r="H13" s="58" t="s">
        <v>204</v>
      </c>
      <c r="I13" s="58" t="s">
        <v>234</v>
      </c>
      <c r="J13" s="58" t="s">
        <v>235</v>
      </c>
      <c r="K13" s="58" t="s">
        <v>204</v>
      </c>
      <c r="L13" s="58" t="s">
        <v>234</v>
      </c>
      <c r="M13" s="58" t="s">
        <v>235</v>
      </c>
    </row>
    <row r="14" ht="37" customHeight="1" spans="1:13">
      <c r="A14" s="53"/>
      <c r="B14" s="54"/>
      <c r="C14" s="54"/>
      <c r="D14" s="54"/>
      <c r="E14" s="59"/>
      <c r="F14" s="59"/>
      <c r="G14" s="59"/>
      <c r="H14" s="59"/>
      <c r="I14" s="59"/>
      <c r="J14" s="59"/>
      <c r="K14" s="59"/>
      <c r="L14" s="59"/>
      <c r="M14" s="59"/>
    </row>
    <row r="15" ht="14.25" spans="1:13">
      <c r="A15" s="55" t="str">
        <f>设置!$B$22</f>
        <v>***市县</v>
      </c>
      <c r="B15" s="56">
        <f t="shared" ref="B15:B17" si="7">SUM(C15:D15)</f>
        <v>0</v>
      </c>
      <c r="C15" s="56">
        <f>SUMPRODUCT((个贷明细!N8:N666666&lt;&gt;0)*(个贷明细!P8:P666666&lt;设置!H23)*(个贷明细!R8:R666666&gt;设置!F24)*(个贷明细!T8:T666666=0)*(1))+SUMPRODUCT((个贷明细!N8:N666666&lt;&gt;0)*(个贷明细!P8:P666666&lt;设置!H23)*(个贷明细!R8:R666666&gt;设置!F24)*(个贷明细!T8:T666666&gt;设置!F24)*(1))</f>
        <v>0</v>
      </c>
      <c r="D15" s="56">
        <f>SUMPRODUCT((企贷明细!N8:N666666&lt;&gt;0)*(企贷明细!P8:P666666&lt;设置!H23)*(企贷明细!R8:R666666&gt;设置!F24)*(企贷明细!T8:T666666=0)*(1))+SUMPRODUCT((企贷明细!N8:N666666&lt;&gt;0)*(企贷明细!P8:P666666&lt;设置!H23)*(企贷明细!R8:R666666&gt;设置!F24)*(企贷明细!T8:T666666&gt;设置!F24)*(1))</f>
        <v>0</v>
      </c>
      <c r="E15" s="56">
        <f t="shared" ref="E15:E17" si="8">SUM(F15:G15)</f>
        <v>0</v>
      </c>
      <c r="F15" s="56">
        <f t="shared" ref="F15:F17" si="9">SUM(I15,L15)</f>
        <v>0</v>
      </c>
      <c r="G15" s="56">
        <f t="shared" ref="G15:G17" si="10">SUM(J15,M15)</f>
        <v>0</v>
      </c>
      <c r="H15" s="56">
        <f t="shared" ref="H15:H17" si="11">SUM(I15:J15)</f>
        <v>0</v>
      </c>
      <c r="I15" s="56">
        <f>SUMPRODUCT((个贷明细!P8:P666666&lt;设置!H23)*(个贷明细!R8:R666666&gt;设置!F24)*(个贷明细!T8:T666666=0)*(个贷明细!AA8:AA666666))+SUMPRODUCT((个贷明细!P8:P666666&lt;设置!H23)*(个贷明细!R8:R666666&gt;设置!F24)*(个贷明细!T8:T666666&gt;设置!F24)*(个贷明细!AA8:AA666666))</f>
        <v>0</v>
      </c>
      <c r="J15" s="56">
        <f>SUMPRODUCT((个贷明细!P8:P666666&lt;设置!H23)*(个贷明细!R8:R666666&gt;设置!F24)*(个贷明细!T8:T666666=0)*(个贷明细!AB8:AB666666))+SUMPRODUCT((个贷明细!P8:P666666&lt;设置!H23)*(个贷明细!R8:R666666&gt;设置!F24)*(个贷明细!T8:T666666&gt;设置!F24)*(个贷明细!AB8:AB666666))</f>
        <v>0</v>
      </c>
      <c r="K15" s="56">
        <f t="shared" ref="K15:K17" si="12">SUM(L15:M15)</f>
        <v>0</v>
      </c>
      <c r="L15" s="56">
        <f>SUMPRODUCT((企贷明细!P8:P666666&lt;设置!H23)*(企贷明细!R8:R666666&gt;设置!F24)*(企贷明细!T8:T666666=0)*(企贷明细!AA8:AA666666))+SUMPRODUCT((企贷明细!P8:P666666&lt;设置!H23)*(企贷明细!R8:R666666&gt;设置!F24)*(企贷明细!T8:T666666&gt;设置!F24)*(企贷明细!AA8:AA666666))</f>
        <v>0</v>
      </c>
      <c r="M15" s="56">
        <f>SUMPRODUCT((企贷明细!P8:P666666&lt;设置!H23)*(企贷明细!R8:R666666&gt;设置!F24)*(企贷明细!T8:T666666=0)*(企贷明细!AB8:AB666666))+SUMPRODUCT((企贷明细!P8:P666666&lt;设置!H23)*(企贷明细!R8:R666666&gt;设置!F24)*(企贷明细!T8:T666666&gt;设置!F24)*(企贷明细!AB8:AB666666))</f>
        <v>0</v>
      </c>
    </row>
    <row r="16" ht="14.25" spans="1:13">
      <c r="A16" s="57" t="s">
        <v>236</v>
      </c>
      <c r="B16" s="56">
        <f t="shared" si="7"/>
        <v>0</v>
      </c>
      <c r="C16" s="56">
        <f>SUMPRODUCT((个贷明细!N8:N666666&lt;&gt;0)*(个贷明细!P8:P666666&gt;=设置!J23)*(个贷明细!P8:P666666&lt;设置!H23)*(个贷明细!R8:R666666&gt;设置!F24)*(个贷明细!T8:T666666=0)*(1))+SUMPRODUCT((个贷明细!N8:N666666&lt;&gt;0)*(个贷明细!P8:P666666&gt;=设置!J23)*(个贷明细!P8:P666666&lt;设置!H23)*(个贷明细!R8:R666666&gt;设置!F24)*(个贷明细!T8:T666666&gt;设置!F24)*(1))</f>
        <v>0</v>
      </c>
      <c r="D16" s="56">
        <f>SUMPRODUCT((企贷明细!N8:N666666&lt;&gt;0)*(企贷明细!P8:P666666&gt;=设置!J23)*(企贷明细!P8:P666666&lt;设置!H23)*(企贷明细!R8:R666666&gt;设置!F24)*(企贷明细!T8:T666666=0)*(1))+SUMPRODUCT((企贷明细!N8:N666666&lt;&gt;0)*(企贷明细!P8:P666666&gt;=设置!J23)*(企贷明细!P8:P666666&lt;设置!H23)*(企贷明细!R8:R666666&gt;设置!F24)*(企贷明细!T8:T666666&gt;设置!F24)*(1))</f>
        <v>0</v>
      </c>
      <c r="E16" s="56">
        <f t="shared" si="8"/>
        <v>0</v>
      </c>
      <c r="F16" s="56">
        <f t="shared" si="9"/>
        <v>0</v>
      </c>
      <c r="G16" s="56">
        <f t="shared" si="10"/>
        <v>0</v>
      </c>
      <c r="H16" s="56">
        <f t="shared" si="11"/>
        <v>0</v>
      </c>
      <c r="I16" s="56">
        <f>SUMPRODUCT((个贷明细!P8:P666666&gt;=设置!J23)*(个贷明细!P8:P666666&lt;设置!H23)*(个贷明细!R8:R666666&gt;设置!F24)*(个贷明细!T8:T666666=0)*(个贷明细!AA8:AA666666))+SUMPRODUCT((个贷明细!P8:P666666&gt;=设置!J23)*(个贷明细!P8:P666666&lt;设置!H23)*(个贷明细!R8:R666666&gt;设置!F24)*(个贷明细!T8:T666666&gt;设置!F24)*(个贷明细!AA8:AA666666))</f>
        <v>0</v>
      </c>
      <c r="J16" s="56">
        <f>SUMPRODUCT((个贷明细!P8:P666666&gt;=设置!J23)*(个贷明细!P8:P666666&lt;设置!H23)*(个贷明细!R8:R666666&gt;设置!F24)*(个贷明细!T8:T666666=0)*(个贷明细!AB8:AB666666))+SUMPRODUCT((个贷明细!P8:P666666&gt;=设置!J23)*(个贷明细!P8:P666666&lt;设置!H23)*(个贷明细!R8:R666666&gt;设置!F24)*(个贷明细!T8:T666666&gt;设置!F24)*(个贷明细!AB8:AB666666))</f>
        <v>0</v>
      </c>
      <c r="K16" s="56">
        <f t="shared" si="12"/>
        <v>0</v>
      </c>
      <c r="L16" s="56">
        <f>SUMPRODUCT((企贷明细!P8:P666666&gt;=设置!J23)*(企贷明细!P8:P666666&lt;设置!H23)*(企贷明细!R8:R666666&gt;设置!F24)*(企贷明细!T8:T666666=0)*(企贷明细!AA8:AA666666))+SUMPRODUCT((企贷明细!P8:P666666&gt;=设置!J23)*(企贷明细!P8:P666666&lt;设置!H23)*(企贷明细!R8:R666666&gt;设置!F24)*(企贷明细!T8:T666666&gt;设置!F24)*(企贷明细!AA8:AA666666))</f>
        <v>0</v>
      </c>
      <c r="M16" s="56">
        <f>SUMPRODUCT((企贷明细!P8:P666666&gt;=设置!J23)*(企贷明细!P8:P666666&lt;设置!H23)*(企贷明细!R8:R666666&gt;设置!F24)*(企贷明细!T8:T666666=0)*(企贷明细!AB8:AB666666))+SUMPRODUCT((企贷明细!P8:P666666&gt;=设置!J23)*(企贷明细!P8:P666666&lt;设置!H23)*(企贷明细!R8:R666666&gt;设置!F24)*(企贷明细!T8:T666666&gt;设置!F24)*(企贷明细!AB8:AB666666))</f>
        <v>0</v>
      </c>
    </row>
    <row r="17" ht="14.25" spans="1:13">
      <c r="A17" s="57" t="s">
        <v>237</v>
      </c>
      <c r="B17" s="56">
        <f t="shared" si="7"/>
        <v>0</v>
      </c>
      <c r="C17" s="56">
        <f>SUMPRODUCT((个贷明细!N8:N666666&lt;&gt;0)*(个贷明细!P8:P666666&lt;设置!J23)*(个贷明细!P8:P666666&lt;设置!H23)*(个贷明细!R8:R666666&gt;设置!F24)*(个贷明细!T8:T666666=0)*(1))+SUMPRODUCT((个贷明细!N8:N666666&lt;&gt;0)*(个贷明细!P8:P666666&lt;设置!J23)*(个贷明细!P8:P666666&lt;设置!H23)*(个贷明细!R8:R666666&gt;设置!F24)*(个贷明细!T8:T666666&gt;设置!F24)*(1))</f>
        <v>0</v>
      </c>
      <c r="D17" s="56">
        <f>SUMPRODUCT((企贷明细!N8:N666666&lt;&gt;0)*(企贷明细!P8:P666666&lt;设置!J23)*(企贷明细!P8:P666666&lt;设置!H23)*(企贷明细!R8:R666666&gt;设置!F24)*(企贷明细!T8:T666666=0)*(1))+SUMPRODUCT((企贷明细!N8:N666666&lt;&gt;0)*(企贷明细!P8:P666666&lt;设置!J23)*(企贷明细!P8:P666666&lt;设置!H23)*(企贷明细!R8:R666666&gt;设置!F24)*(企贷明细!T8:T666666&gt;设置!F24)*(1))</f>
        <v>0</v>
      </c>
      <c r="E17" s="56">
        <f t="shared" si="8"/>
        <v>0</v>
      </c>
      <c r="F17" s="56">
        <f t="shared" si="9"/>
        <v>0</v>
      </c>
      <c r="G17" s="56">
        <f t="shared" si="10"/>
        <v>0</v>
      </c>
      <c r="H17" s="56">
        <f t="shared" si="11"/>
        <v>0</v>
      </c>
      <c r="I17" s="56">
        <f>SUMPRODUCT((个贷明细!P8:P666666&lt;设置!J23)*(个贷明细!P8:P666666&lt;设置!H23)*(个贷明细!R8:R666666&gt;设置!F24)*(个贷明细!T8:T666666=0)*(个贷明细!AA8:AA666666))+SUMPRODUCT((个贷明细!P8:P666666&lt;设置!J23)*(个贷明细!P8:P666666&lt;设置!H23)*(个贷明细!R8:R666666&gt;设置!F24)*(个贷明细!T8:T666666&gt;设置!F24)*(个贷明细!AA8:AA666666))</f>
        <v>0</v>
      </c>
      <c r="J17" s="56">
        <f>SUMPRODUCT((个贷明细!P8:P666666&lt;设置!J23)*(个贷明细!P8:P666666&lt;设置!H23)*(个贷明细!R8:R666666&gt;设置!F24)*(个贷明细!T8:T666666=0)*(个贷明细!AB8:AB666666))+SUMPRODUCT((个贷明细!P8:P666666&lt;设置!J23)*(个贷明细!P8:P666666&lt;设置!H23)*(个贷明细!R8:R666666&gt;设置!F24)*(个贷明细!T8:T666666&gt;设置!F24)*(个贷明细!AB8:AB666666))</f>
        <v>0</v>
      </c>
      <c r="K17" s="56">
        <f t="shared" si="12"/>
        <v>0</v>
      </c>
      <c r="L17" s="56">
        <f>SUMPRODUCT((企贷明细!P8:P666666&lt;设置!J23)*(企贷明细!P8:P666666&lt;设置!H23)*(企贷明细!R8:R666666&gt;设置!F24)*(企贷明细!T8:T666666=0)*(企贷明细!AA8:AA666666))+SUMPRODUCT((企贷明细!P8:P666666&lt;设置!J23)*(企贷明细!P8:P666666&lt;设置!H23)*(企贷明细!R8:R666666&gt;设置!F24)*(企贷明细!T8:T666666&gt;设置!F24)*(企贷明细!AA8:AA666666))</f>
        <v>0</v>
      </c>
      <c r="M17" s="56">
        <f>SUMPRODUCT((企贷明细!P8:P666666&lt;设置!J23)*(企贷明细!P8:P666666&lt;设置!H23)*(企贷明细!R8:R666666&gt;设置!F24)*(企贷明细!T8:T666666=0)*(企贷明细!AB8:AB666666))+SUMPRODUCT((企贷明细!P8:P666666&lt;设置!J23)*(企贷明细!P8:P666666&lt;设置!H23)*(企贷明细!R8:R666666&gt;设置!F24)*(企贷明细!T8:T666666&gt;设置!F24)*(企贷明细!AB8:AB666666))</f>
        <v>0</v>
      </c>
    </row>
    <row r="19" spans="1:23">
      <c r="A19" s="46" t="s">
        <v>229</v>
      </c>
      <c r="B19" s="48" t="s">
        <v>240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49"/>
      <c r="B20" s="60" t="s">
        <v>204</v>
      </c>
      <c r="C20" s="61"/>
      <c r="D20" s="61"/>
      <c r="E20" s="61"/>
      <c r="F20" s="61"/>
      <c r="G20" s="61"/>
      <c r="H20" s="61"/>
      <c r="I20" s="70"/>
      <c r="J20" s="60" t="s">
        <v>111</v>
      </c>
      <c r="K20" s="61"/>
      <c r="L20" s="61"/>
      <c r="M20" s="61"/>
      <c r="N20" s="61"/>
      <c r="O20" s="70"/>
      <c r="P20" s="60" t="s">
        <v>233</v>
      </c>
      <c r="Q20" s="61"/>
      <c r="R20" s="61"/>
      <c r="S20" s="61"/>
      <c r="T20" s="61"/>
      <c r="U20" s="61"/>
      <c r="V20" s="61"/>
      <c r="W20" s="70"/>
    </row>
    <row r="21" spans="1:23">
      <c r="A21" s="49"/>
      <c r="B21" s="62" t="s">
        <v>204</v>
      </c>
      <c r="C21" s="62" t="s">
        <v>241</v>
      </c>
      <c r="D21" s="62"/>
      <c r="E21" s="62"/>
      <c r="F21" s="62"/>
      <c r="G21" s="62" t="s">
        <v>242</v>
      </c>
      <c r="H21" s="62"/>
      <c r="I21" s="62"/>
      <c r="J21" s="62" t="s">
        <v>204</v>
      </c>
      <c r="K21" s="62" t="s">
        <v>241</v>
      </c>
      <c r="L21" s="62"/>
      <c r="M21" s="62"/>
      <c r="N21" s="62"/>
      <c r="O21" s="62" t="s">
        <v>242</v>
      </c>
      <c r="P21" s="62" t="s">
        <v>204</v>
      </c>
      <c r="Q21" s="62" t="s">
        <v>241</v>
      </c>
      <c r="R21" s="62"/>
      <c r="S21" s="62"/>
      <c r="T21" s="62"/>
      <c r="U21" s="62" t="s">
        <v>242</v>
      </c>
      <c r="V21" s="62"/>
      <c r="W21" s="62"/>
    </row>
    <row r="22" ht="27" customHeight="1" spans="1:23">
      <c r="A22" s="53"/>
      <c r="B22" s="62"/>
      <c r="C22" s="62" t="s">
        <v>204</v>
      </c>
      <c r="D22" s="63" t="s">
        <v>205</v>
      </c>
      <c r="E22" s="62" t="s">
        <v>206</v>
      </c>
      <c r="F22" s="62" t="s">
        <v>207</v>
      </c>
      <c r="G22" s="62" t="s">
        <v>204</v>
      </c>
      <c r="H22" s="62" t="s">
        <v>206</v>
      </c>
      <c r="I22" s="62" t="s">
        <v>207</v>
      </c>
      <c r="J22" s="62"/>
      <c r="K22" s="62" t="s">
        <v>204</v>
      </c>
      <c r="L22" s="63" t="s">
        <v>205</v>
      </c>
      <c r="M22" s="62" t="s">
        <v>206</v>
      </c>
      <c r="N22" s="62" t="s">
        <v>207</v>
      </c>
      <c r="O22" s="62"/>
      <c r="P22" s="62"/>
      <c r="Q22" s="62" t="s">
        <v>204</v>
      </c>
      <c r="R22" s="63" t="s">
        <v>205</v>
      </c>
      <c r="S22" s="62" t="s">
        <v>206</v>
      </c>
      <c r="T22" s="62" t="s">
        <v>207</v>
      </c>
      <c r="U22" s="62" t="s">
        <v>204</v>
      </c>
      <c r="V22" s="62" t="s">
        <v>206</v>
      </c>
      <c r="W22" s="62" t="s">
        <v>207</v>
      </c>
    </row>
    <row r="23" ht="14.25" spans="1:23">
      <c r="A23" s="55" t="str">
        <f>设置!$B$22</f>
        <v>***市县</v>
      </c>
      <c r="B23" s="56">
        <f t="shared" ref="B23:B25" si="13">SUM(C23,G23)</f>
        <v>0</v>
      </c>
      <c r="C23" s="56">
        <f t="shared" ref="C23:C25" si="14">SUM(D23:F23)</f>
        <v>0</v>
      </c>
      <c r="D23" s="56">
        <f t="shared" ref="D23:F23" si="15">SUM(L23,R23)</f>
        <v>0</v>
      </c>
      <c r="E23" s="56">
        <f t="shared" si="15"/>
        <v>0</v>
      </c>
      <c r="F23" s="56">
        <f t="shared" si="15"/>
        <v>0</v>
      </c>
      <c r="G23" s="56">
        <f t="shared" ref="G23:G25" si="16">SUM(H23:I23)</f>
        <v>0</v>
      </c>
      <c r="H23" s="56">
        <f t="shared" ref="H23:H25" si="17">SUM(V23)</f>
        <v>0</v>
      </c>
      <c r="I23" s="56">
        <f t="shared" ref="I23:I25" si="18">SUM(O23,W23)</f>
        <v>0</v>
      </c>
      <c r="J23" s="56">
        <f t="shared" ref="J23:J25" si="19">SUM(K23,O23)</f>
        <v>0</v>
      </c>
      <c r="K23" s="56">
        <f t="shared" ref="K23:K25" si="20">SUM(L23:N23)</f>
        <v>0</v>
      </c>
      <c r="L23" s="71">
        <f>个贷明细!AM7+'1季统计'!L23</f>
        <v>0</v>
      </c>
      <c r="M23" s="71">
        <f>个贷明细!AN7+'1季统计'!M23</f>
        <v>0</v>
      </c>
      <c r="N23" s="71">
        <f>个贷明细!AO7+'1季统计'!N23</f>
        <v>0</v>
      </c>
      <c r="O23" s="75">
        <f>个贷明细!AQ7+'1季统计'!O23</f>
        <v>0</v>
      </c>
      <c r="P23" s="56">
        <f t="shared" ref="P23:P25" si="21">SUM(Q23,U23)</f>
        <v>0</v>
      </c>
      <c r="Q23" s="56">
        <f t="shared" ref="Q23:Q25" si="22">SUM(R23:T23)</f>
        <v>0</v>
      </c>
      <c r="R23" s="56">
        <f>企贷明细!AO7+'1季统计'!R23</f>
        <v>0</v>
      </c>
      <c r="S23" s="56">
        <f>企贷明细!AP7+'1季统计'!S23</f>
        <v>0</v>
      </c>
      <c r="T23" s="56">
        <f>企贷明细!AQ7+'1季统计'!T23</f>
        <v>0</v>
      </c>
      <c r="U23" s="56">
        <f t="shared" ref="U23:U25" si="23">SUM(V23:W23)</f>
        <v>0</v>
      </c>
      <c r="V23" s="56">
        <f>企贷明细!AR7+'1季统计'!V23</f>
        <v>0</v>
      </c>
      <c r="W23" s="56">
        <f>企贷明细!AS7+企贷明细!AU7+'1季统计'!W23</f>
        <v>0</v>
      </c>
    </row>
    <row r="24" ht="14.25" spans="1:23">
      <c r="A24" s="57" t="s">
        <v>236</v>
      </c>
      <c r="B24" s="56">
        <f t="shared" si="13"/>
        <v>0</v>
      </c>
      <c r="C24" s="56">
        <f t="shared" si="14"/>
        <v>0</v>
      </c>
      <c r="D24" s="56">
        <f t="shared" ref="D24:F24" si="24">SUM(L24,R24)</f>
        <v>0</v>
      </c>
      <c r="E24" s="56">
        <f t="shared" si="24"/>
        <v>0</v>
      </c>
      <c r="F24" s="56">
        <f t="shared" si="24"/>
        <v>0</v>
      </c>
      <c r="G24" s="56">
        <f t="shared" si="16"/>
        <v>0</v>
      </c>
      <c r="H24" s="56">
        <f t="shared" si="17"/>
        <v>0</v>
      </c>
      <c r="I24" s="56">
        <f t="shared" si="18"/>
        <v>0</v>
      </c>
      <c r="J24" s="56">
        <f t="shared" si="19"/>
        <v>0</v>
      </c>
      <c r="K24" s="56">
        <f t="shared" si="20"/>
        <v>0</v>
      </c>
      <c r="L24" s="71">
        <f>SUMPRODUCT((个贷明细!P8:P666666&gt;=设置!J23)*(个贷明细!AM8:AM666666))+'1季统计'!L24</f>
        <v>0</v>
      </c>
      <c r="M24" s="71">
        <f>SUMPRODUCT((个贷明细!P8:P666666&gt;=设置!J23)*(个贷明细!AN8:AN666666))+'1季统计'!M24</f>
        <v>0</v>
      </c>
      <c r="N24" s="56">
        <f>SUMPRODUCT((个贷明细!P8:P666666&gt;=设置!J23)*(个贷明细!AO8:AO666666))+'1季统计'!N24</f>
        <v>0</v>
      </c>
      <c r="O24" s="56">
        <f>SUMPRODUCT((个贷明细!P8:P666666&gt;=设置!J23)*(个贷明细!AQ8:AQ666666))+'1季统计'!O24</f>
        <v>0</v>
      </c>
      <c r="P24" s="56">
        <f t="shared" si="21"/>
        <v>0</v>
      </c>
      <c r="Q24" s="56">
        <f t="shared" si="22"/>
        <v>0</v>
      </c>
      <c r="R24" s="71">
        <f>SUMPRODUCT((企贷明细!P8:P666666&gt;=设置!J23)*(企贷明细!AO8:AO666666))+'1季统计'!R24</f>
        <v>0</v>
      </c>
      <c r="S24" s="71">
        <f>SUMPRODUCT((企贷明细!P8:P666666&gt;=设置!J23)*(企贷明细!AP8:AP666666))+'1季统计'!S24</f>
        <v>0</v>
      </c>
      <c r="T24" s="56">
        <f>SUMPRODUCT((企贷明细!P8:P666666&gt;=设置!J23)*(企贷明细!AQ8:AQ666666))+'1季统计'!T24</f>
        <v>0</v>
      </c>
      <c r="U24" s="56">
        <f t="shared" si="23"/>
        <v>0</v>
      </c>
      <c r="V24" s="56">
        <f>SUMPRODUCT((企贷明细!P8:P666666&gt;=设置!J23)*(企贷明细!AR8:AR666666))+'1季统计'!V24</f>
        <v>0</v>
      </c>
      <c r="W24" s="56">
        <f>SUMPRODUCT((企贷明细!P8:P666666&gt;=设置!J23)*(企贷明细!AS8:AS666666))+SUMPRODUCT((企贷明细!P8:P666666&gt;=设置!J23)*(企贷明细!AU8:AU666666))+'1季统计'!W24</f>
        <v>0</v>
      </c>
    </row>
    <row r="25" ht="14.25" spans="1:23">
      <c r="A25" s="57" t="s">
        <v>237</v>
      </c>
      <c r="B25" s="56">
        <f t="shared" si="13"/>
        <v>0</v>
      </c>
      <c r="C25" s="56">
        <f t="shared" si="14"/>
        <v>0</v>
      </c>
      <c r="D25" s="56">
        <f t="shared" ref="D25:F25" si="25">SUM(L25,R25)</f>
        <v>0</v>
      </c>
      <c r="E25" s="56">
        <f t="shared" si="25"/>
        <v>0</v>
      </c>
      <c r="F25" s="56">
        <f t="shared" si="25"/>
        <v>0</v>
      </c>
      <c r="G25" s="56">
        <f t="shared" si="16"/>
        <v>0</v>
      </c>
      <c r="H25" s="56">
        <f t="shared" si="17"/>
        <v>0</v>
      </c>
      <c r="I25" s="56">
        <f t="shared" si="18"/>
        <v>0</v>
      </c>
      <c r="J25" s="56">
        <f t="shared" si="19"/>
        <v>0</v>
      </c>
      <c r="K25" s="56">
        <f t="shared" si="20"/>
        <v>0</v>
      </c>
      <c r="L25" s="56">
        <f>SUMPRODUCT((个贷明细!P8:P666666&lt;设置!J23)*(个贷明细!AM8:AM666666))+'1季统计'!L25</f>
        <v>0</v>
      </c>
      <c r="M25" s="56">
        <f>SUMPRODUCT((个贷明细!P8:P666666&lt;设置!J23)*(个贷明细!AN8:AN666666))+'1季统计'!M25</f>
        <v>0</v>
      </c>
      <c r="N25" s="56">
        <f>SUMPRODUCT((个贷明细!P8:P666666&lt;设置!J23)*(个贷明细!AO8:AO666666))+'1季统计'!N25</f>
        <v>0</v>
      </c>
      <c r="O25" s="56">
        <f>SUMPRODUCT((个贷明细!P8:P666666&lt;设置!J23)*(个贷明细!AQ8:AQ666666))+'1季统计'!O25</f>
        <v>0</v>
      </c>
      <c r="P25" s="56">
        <f t="shared" si="21"/>
        <v>0</v>
      </c>
      <c r="Q25" s="56">
        <f t="shared" si="22"/>
        <v>0</v>
      </c>
      <c r="R25" s="56">
        <f>SUMPRODUCT((企贷明细!P8:P666666&lt;设置!J23)*(企贷明细!AO8:AO666666))+'1季统计'!R25</f>
        <v>0</v>
      </c>
      <c r="S25" s="56">
        <f>SUMPRODUCT((企贷明细!P8:P666666&lt;设置!J23)*(企贷明细!AP8:AP666666))+'1季统计'!S25</f>
        <v>0</v>
      </c>
      <c r="T25" s="56">
        <f>SUMPRODUCT((企贷明细!P8:P666666&lt;设置!J23)*(企贷明细!AQ8:AQ666666))+'1季统计'!T25</f>
        <v>0</v>
      </c>
      <c r="U25" s="56">
        <f t="shared" si="23"/>
        <v>0</v>
      </c>
      <c r="V25" s="56">
        <f>SUMPRODUCT((企贷明细!P8:P666666&lt;设置!J23)*(企贷明细!AR8:AR666666))+'1季统计'!V25</f>
        <v>0</v>
      </c>
      <c r="W25" s="56">
        <f>SUMPRODUCT((企贷明细!P8:P666666&lt;设置!J23)*(企贷明细!AS8:AS666666))+SUMPRODUCT((企贷明细!P8:P666666&lt;设置!J23)*(企贷明细!AU8:AU666666))+'1季统计'!W25</f>
        <v>0</v>
      </c>
    </row>
    <row r="28" ht="18.75" spans="1:23">
      <c r="A28" s="74" t="str">
        <f>设置!B22&amp;(IF(YEAR(设置!D23)&lt;2021/1/1,"0000",YEAR(设置!D23)))&amp;设置!C28&amp;"二季度创业担保贷款财政贴息资金使用明细表"</f>
        <v>***市县2025年二季度创业担保贷款财政贴息资金使用明细表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>
      <c r="A30" s="64"/>
      <c r="B30" s="64"/>
      <c r="C30" s="64"/>
      <c r="D30" s="64"/>
      <c r="E30" s="15"/>
      <c r="F30" s="15"/>
      <c r="G30" s="15"/>
      <c r="H30" s="15"/>
      <c r="J30" s="15"/>
      <c r="K30" s="73" t="s">
        <v>243</v>
      </c>
      <c r="L30" s="15"/>
      <c r="M30" s="15"/>
      <c r="N30" s="15"/>
      <c r="O30" s="15"/>
      <c r="P30" s="15"/>
      <c r="Q30" s="15"/>
      <c r="R30" s="15"/>
      <c r="S30" s="15"/>
      <c r="T30" s="15"/>
      <c r="V30" s="15"/>
      <c r="W30" s="15"/>
    </row>
    <row r="31" spans="1:23">
      <c r="A31" s="65"/>
      <c r="B31" s="66" t="s">
        <v>244</v>
      </c>
      <c r="C31" s="66" t="s">
        <v>239</v>
      </c>
      <c r="D31" s="65" t="s">
        <v>245</v>
      </c>
      <c r="E31" s="65"/>
      <c r="F31" s="65"/>
      <c r="G31" s="65"/>
      <c r="H31" s="65"/>
      <c r="I31" s="65"/>
      <c r="J31" s="65"/>
      <c r="K31" s="65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 s="65"/>
      <c r="B32" s="66"/>
      <c r="C32" s="66"/>
      <c r="D32" s="67" t="s">
        <v>204</v>
      </c>
      <c r="E32" s="63" t="s">
        <v>241</v>
      </c>
      <c r="F32" s="63"/>
      <c r="G32" s="63"/>
      <c r="H32" s="63"/>
      <c r="I32" s="63" t="s">
        <v>242</v>
      </c>
      <c r="J32" s="63"/>
      <c r="K32" s="63"/>
      <c r="L32"/>
      <c r="M32"/>
      <c r="N32"/>
      <c r="O32"/>
      <c r="P32"/>
      <c r="Q32"/>
      <c r="R32"/>
      <c r="S32"/>
      <c r="T32"/>
      <c r="U32"/>
      <c r="V32"/>
      <c r="W32"/>
    </row>
    <row r="33" ht="24" spans="1:23">
      <c r="A33" s="65"/>
      <c r="B33" s="66"/>
      <c r="C33" s="66"/>
      <c r="D33" s="67"/>
      <c r="E33" s="63" t="s">
        <v>246</v>
      </c>
      <c r="F33" s="63" t="s">
        <v>205</v>
      </c>
      <c r="G33" s="63" t="s">
        <v>206</v>
      </c>
      <c r="H33" s="63" t="s">
        <v>207</v>
      </c>
      <c r="I33" s="63" t="s">
        <v>246</v>
      </c>
      <c r="J33" s="63" t="s">
        <v>206</v>
      </c>
      <c r="K33" s="63" t="s">
        <v>207</v>
      </c>
      <c r="L33"/>
      <c r="M33"/>
      <c r="N33"/>
      <c r="O33"/>
      <c r="P33"/>
      <c r="Q33"/>
      <c r="R33"/>
      <c r="S33"/>
      <c r="T33"/>
      <c r="U33"/>
      <c r="V33"/>
      <c r="W33"/>
    </row>
    <row r="34" ht="14.25" spans="1:23">
      <c r="A34" s="65" t="s">
        <v>204</v>
      </c>
      <c r="B34" s="56">
        <f>SUMPRODUCT((个贷明细!$Q$8:$Q$666666&gt;=设置!$F$23)*(个贷明细!$Q$8:$Q$666666&lt;=设置!$F$24)*(个贷明细!$N$8:$N$666666))+SUMPRODUCT((企贷明细!$Q$8:$Q$666666&gt;=设置!$F$23)*(企贷明细!$Q$8:$Q$666666&lt;=设置!$F$24)*(企贷明细!$N$8:$N$666666))</f>
        <v>0</v>
      </c>
      <c r="C34" s="56">
        <f>SUMPRODUCT((个贷明细!$Q$8:$Q$666666&lt;设置!$H$23)*(个贷明细!$R$8:$R$666666&gt;设置!$F$24)*(个贷明细!$T$8:$T$666666=0)*(个贷明细!$N$8:$N$666666))+SUMPRODUCT((个贷明细!$Q$8:$Q$666666&lt;设置!$H$23)*(个贷明细!$R$8:$R$666666&gt;设置!$F$24)*(个贷明细!$T$8:$T$666666&gt;设置!$F$24)*(个贷明细!$N$8:$N$666666))+SUMPRODUCT((企贷明细!$Q$8:$Q$666666&lt;设置!$H$23)*(企贷明细!$R$8:$R$666666&gt;设置!$F$24)*(企贷明细!$T$8:$T$666666=0)*(企贷明细!$N$8:$N$666666))+SUMPRODUCT((企贷明细!$Q$8:$Q$666666&lt;设置!$H$23)*(企贷明细!$R$8:$R$666666&gt;设置!$F$24)*(企贷明细!$T$8:$T$666666&gt;设置!$F$24)*(企贷明细!$N$8:$N$666666))</f>
        <v>0</v>
      </c>
      <c r="D34" s="56">
        <f t="shared" ref="D34:D69" si="26">SUM(E34,I34)</f>
        <v>0</v>
      </c>
      <c r="E34" s="56">
        <f t="shared" ref="E34:E69" si="27">SUM(F34:H34)</f>
        <v>0</v>
      </c>
      <c r="F34" s="56">
        <f>个贷明细!$AM$7+企贷明细!$AO$7</f>
        <v>0</v>
      </c>
      <c r="G34" s="56">
        <f>个贷明细!$AN$7+企贷明细!$AP$7</f>
        <v>0</v>
      </c>
      <c r="H34" s="56">
        <f>个贷明细!$AO$7+企贷明细!$AQ$7</f>
        <v>0</v>
      </c>
      <c r="I34" s="56">
        <f t="shared" ref="I34:I69" si="28">SUM(J34:K34)</f>
        <v>0</v>
      </c>
      <c r="J34" s="56">
        <f>企贷明细!$AR$7</f>
        <v>0</v>
      </c>
      <c r="K34" s="56">
        <f>个贷明细!$AQ$7+企贷明细!$AS$7+企贷明细!$AU$7</f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ht="14.25" spans="1:23">
      <c r="A35" s="68" t="str">
        <f>'1季统计'!A35</f>
        <v>工商银行</v>
      </c>
      <c r="B35" s="56">
        <f>SUMPRODUCT((个贷明细!$M$8:$M$666666=A35)*(个贷明细!$Q$8:$Q$666666&gt;=设置!$F$23)*(个贷明细!$Q$8:$Q$666666&lt;=设置!$F$24)*(个贷明细!$N$8:$N$666666))+SUMPRODUCT((企贷明细!$M$8:$M$666666=A35)*(企贷明细!$Q$8:$Q$666666&gt;=设置!$F$23)*(企贷明细!$Q$8:$Q$666666&lt;=设置!$F$24)*(企贷明细!$N$8:$N$666666))</f>
        <v>0</v>
      </c>
      <c r="C35" s="56">
        <f>SUMPRODUCT((个贷明细!$M$8:$M$666666=A35)*(个贷明细!$Q$8:$Q$666666&lt;设置!$H$23)*(个贷明细!$R$8:$R$666666&gt;设置!$F$24)*(个贷明细!$T$8:$T$666666=0)*(个贷明细!$N$8:$N$666666))+SUMPRODUCT((个贷明细!$M$8:$M$666666=A35)*(个贷明细!$Q$8:$Q$666666&lt;设置!$H$23)*(个贷明细!$R$8:$R$666666&gt;设置!$F$24)*(个贷明细!$T$8:$T$666666&gt;设置!$F$24)*(个贷明细!$N$8:$N$666666))+SUMPRODUCT((企贷明细!$M$8:$M$666666=A35)*(企贷明细!$Q$8:$Q$666666&lt;设置!$H$23)*(企贷明细!$R$8:$R$666666&gt;设置!$F$24)*(企贷明细!$T$8:$T$666666=0)*(企贷明细!$N$8:$N$666666))+SUMPRODUCT((企贷明细!$M$8:$M$666666=A35)*(企贷明细!$Q$8:$Q$666666&lt;设置!$H$23)*(企贷明细!$R$8:$R$666666&gt;设置!$F$24)*(企贷明细!$T$8:$T$666666&gt;设置!$F$24)*(企贷明细!$N$8:$N$666666))</f>
        <v>0</v>
      </c>
      <c r="D35" s="56">
        <f t="shared" si="26"/>
        <v>0</v>
      </c>
      <c r="E35" s="56">
        <f t="shared" si="27"/>
        <v>0</v>
      </c>
      <c r="F35" s="56">
        <f>SUMPRODUCT((个贷明细!$M$8:$M$666666=A35)*(个贷明细!$AM$8:$AM$666666))+SUMPRODUCT((企贷明细!$M$8:$M$666666=A35)*(企贷明细!$AO$8:$AO$666666))</f>
        <v>0</v>
      </c>
      <c r="G35" s="56">
        <f>SUMPRODUCT((个贷明细!$M$8:$M$666666=A35)*(个贷明细!$AN$8:$AN$666666))+SUMPRODUCT((企贷明细!$M$8:$M$666666=A35)*(企贷明细!$AP$8:$AP$666666))</f>
        <v>0</v>
      </c>
      <c r="H35" s="56">
        <f>SUMPRODUCT((个贷明细!$M$8:$M$666666=A35)*(个贷明细!$AO$8:$AO$666666))+SUMPRODUCT((企贷明细!$M$8:$M$666666=A35)*(企贷明细!$AQ$8:$AQ$666666))</f>
        <v>0</v>
      </c>
      <c r="I35" s="56">
        <f t="shared" si="28"/>
        <v>0</v>
      </c>
      <c r="J35" s="56">
        <f>SUMPRODUCT((企贷明细!$M$8:$M$666666=A35)*(企贷明细!$AR$8:$AR$666666))</f>
        <v>0</v>
      </c>
      <c r="K35" s="56">
        <f>SUMPRODUCT((个贷明细!$M$8:$M$666666=A35)*(个贷明细!$AQ$8:$AQ$666666))+SUMPRODUCT((企贷明细!$M$8:$M$666666=A35)*(企贷明细!$AS$8:$AS$666666))+SUMPRODUCT((企贷明细!$M$8:$M$666666=A35)*(企贷明细!$AU$8:$AU$666666))</f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ht="14.25" spans="1:23">
      <c r="A36" s="68" t="str">
        <f>'1季统计'!A36</f>
        <v>农业银行</v>
      </c>
      <c r="B36" s="56">
        <f>SUMPRODUCT((个贷明细!$M$8:$M$666666=A36)*(个贷明细!$Q$8:$Q$666666&gt;=设置!$F$23)*(个贷明细!$Q$8:$Q$666666&lt;=设置!$F$24)*(个贷明细!$N$8:$N$666666))+SUMPRODUCT((企贷明细!$M$8:$M$666666=A36)*(企贷明细!$Q$8:$Q$666666&gt;=设置!$F$23)*(企贷明细!$Q$8:$Q$666666&lt;=设置!$F$24)*(企贷明细!$N$8:$N$666666))</f>
        <v>0</v>
      </c>
      <c r="C36" s="56">
        <f>SUMPRODUCT((个贷明细!$M$8:$M$666666=A36)*(个贷明细!$Q$8:$Q$666666&lt;设置!$H$23)*(个贷明细!$R$8:$R$666666&gt;设置!$F$24)*(个贷明细!$T$8:$T$666666=0)*(个贷明细!$N$8:$N$666666))+SUMPRODUCT((个贷明细!$M$8:$M$666666=A36)*(个贷明细!$Q$8:$Q$666666&lt;设置!$H$23)*(个贷明细!$R$8:$R$666666&gt;设置!$F$24)*(个贷明细!$T$8:$T$666666&gt;设置!$F$24)*(个贷明细!$N$8:$N$666666))+SUMPRODUCT((企贷明细!$M$8:$M$666666=A36)*(企贷明细!$Q$8:$Q$666666&lt;设置!$H$23)*(企贷明细!$R$8:$R$666666&gt;设置!$F$24)*(企贷明细!$T$8:$T$666666=0)*(企贷明细!$N$8:$N$666666))+SUMPRODUCT((企贷明细!$M$8:$M$666666=A36)*(企贷明细!$Q$8:$Q$666666&lt;设置!$H$23)*(企贷明细!$R$8:$R$666666&gt;设置!$F$24)*(企贷明细!$T$8:$T$666666&gt;设置!$F$24)*(企贷明细!$N$8:$N$666666))</f>
        <v>0</v>
      </c>
      <c r="D36" s="56">
        <f t="shared" si="26"/>
        <v>0</v>
      </c>
      <c r="E36" s="56">
        <f t="shared" si="27"/>
        <v>0</v>
      </c>
      <c r="F36" s="56">
        <f>SUMPRODUCT((个贷明细!$M$8:$M$666666=A36)*(个贷明细!$AM$8:$AM$666666))+SUMPRODUCT((企贷明细!$M$8:$M$666666=A36)*(企贷明细!$AO$8:$AO$666666))</f>
        <v>0</v>
      </c>
      <c r="G36" s="56">
        <f>SUMPRODUCT((个贷明细!$M$8:$M$666666=A36)*(个贷明细!$AN$8:$AN$666666))+SUMPRODUCT((企贷明细!$M$8:$M$666666=A36)*(企贷明细!$AP$8:$AP$666666))</f>
        <v>0</v>
      </c>
      <c r="H36" s="56">
        <f>SUMPRODUCT((个贷明细!$M$8:$M$666666=A36)*(个贷明细!$AO$8:$AO$666666))+SUMPRODUCT((企贷明细!$M$8:$M$666666=A36)*(企贷明细!$AQ$8:$AQ$666666))</f>
        <v>0</v>
      </c>
      <c r="I36" s="56">
        <f t="shared" si="28"/>
        <v>0</v>
      </c>
      <c r="J36" s="56">
        <f>SUMPRODUCT((企贷明细!$M$8:$M$666666=A36)*(企贷明细!$AR$8:$AR$666666))</f>
        <v>0</v>
      </c>
      <c r="K36" s="56">
        <f>SUMPRODUCT((个贷明细!$M$8:$M$666666=A36)*(个贷明细!$AQ$8:$AQ$666666))+SUMPRODUCT((企贷明细!$M$8:$M$666666=A36)*(企贷明细!$AS$8:$AS$666666))+SUMPRODUCT((企贷明细!$M$8:$M$666666=A36)*(企贷明细!$AU$8:$AU$666666))</f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ht="14.25" spans="1:23">
      <c r="A37" s="68" t="str">
        <f>'1季统计'!A37</f>
        <v>中国银行</v>
      </c>
      <c r="B37" s="56">
        <f>SUMPRODUCT((个贷明细!$M$8:$M$666666=A37)*(个贷明细!$Q$8:$Q$666666&gt;=设置!$F$23)*(个贷明细!$Q$8:$Q$666666&lt;=设置!$F$24)*(个贷明细!$N$8:$N$666666))+SUMPRODUCT((企贷明细!$M$8:$M$666666=A37)*(企贷明细!$Q$8:$Q$666666&gt;=设置!$F$23)*(企贷明细!$Q$8:$Q$666666&lt;=设置!$F$24)*(企贷明细!$N$8:$N$666666))</f>
        <v>0</v>
      </c>
      <c r="C37" s="56">
        <f>SUMPRODUCT((个贷明细!$M$8:$M$666666=A37)*(个贷明细!$Q$8:$Q$666666&lt;设置!$H$23)*(个贷明细!$R$8:$R$666666&gt;设置!$F$24)*(个贷明细!$T$8:$T$666666=0)*(个贷明细!$N$8:$N$666666))+SUMPRODUCT((个贷明细!$M$8:$M$666666=A37)*(个贷明细!$Q$8:$Q$666666&lt;设置!$H$23)*(个贷明细!$R$8:$R$666666&gt;设置!$F$24)*(个贷明细!$T$8:$T$666666&gt;设置!$F$24)*(个贷明细!$N$8:$N$666666))+SUMPRODUCT((企贷明细!$M$8:$M$666666=A37)*(企贷明细!$Q$8:$Q$666666&lt;设置!$H$23)*(企贷明细!$R$8:$R$666666&gt;设置!$F$24)*(企贷明细!$T$8:$T$666666=0)*(企贷明细!$N$8:$N$666666))+SUMPRODUCT((企贷明细!$M$8:$M$666666=A37)*(企贷明细!$Q$8:$Q$666666&lt;设置!$H$23)*(企贷明细!$R$8:$R$666666&gt;设置!$F$24)*(企贷明细!$T$8:$T$666666&gt;设置!$F$24)*(企贷明细!$N$8:$N$666666))</f>
        <v>0</v>
      </c>
      <c r="D37" s="56">
        <f t="shared" si="26"/>
        <v>0</v>
      </c>
      <c r="E37" s="56">
        <f t="shared" si="27"/>
        <v>0</v>
      </c>
      <c r="F37" s="56">
        <f>SUMPRODUCT((个贷明细!$M$8:$M$666666=A37)*(个贷明细!$AM$8:$AM$666666))+SUMPRODUCT((企贷明细!$M$8:$M$666666=A37)*(企贷明细!$AO$8:$AO$666666))</f>
        <v>0</v>
      </c>
      <c r="G37" s="56">
        <f>SUMPRODUCT((个贷明细!$M$8:$M$666666=A37)*(个贷明细!$AN$8:$AN$666666))+SUMPRODUCT((企贷明细!$M$8:$M$666666=A37)*(企贷明细!$AP$8:$AP$666666))</f>
        <v>0</v>
      </c>
      <c r="H37" s="56">
        <f>SUMPRODUCT((个贷明细!$M$8:$M$666666=A37)*(个贷明细!$AO$8:$AO$666666))+SUMPRODUCT((企贷明细!$M$8:$M$666666=A37)*(企贷明细!$AQ$8:$AQ$666666))</f>
        <v>0</v>
      </c>
      <c r="I37" s="56">
        <f t="shared" si="28"/>
        <v>0</v>
      </c>
      <c r="J37" s="56">
        <f>SUMPRODUCT((企贷明细!$M$8:$M$666666=A37)*(企贷明细!$AR$8:$AR$666666))</f>
        <v>0</v>
      </c>
      <c r="K37" s="56">
        <f>SUMPRODUCT((个贷明细!$M$8:$M$666666=A37)*(个贷明细!$AQ$8:$AQ$666666))+SUMPRODUCT((企贷明细!$M$8:$M$666666=A37)*(企贷明细!$AS$8:$AS$666666))+SUMPRODUCT((企贷明细!$M$8:$M$666666=A37)*(企贷明细!$AU$8:$AU$666666))</f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ht="14.25" spans="1:23">
      <c r="A38" s="68" t="str">
        <f>'1季统计'!A38</f>
        <v>建设银行</v>
      </c>
      <c r="B38" s="56">
        <f>SUMPRODUCT((个贷明细!$M$8:$M$666666=A38)*(个贷明细!$Q$8:$Q$666666&gt;=设置!$F$23)*(个贷明细!$Q$8:$Q$666666&lt;=设置!$F$24)*(个贷明细!$N$8:$N$666666))+SUMPRODUCT((企贷明细!$M$8:$M$666666=A38)*(企贷明细!$Q$8:$Q$666666&gt;=设置!$F$23)*(企贷明细!$Q$8:$Q$666666&lt;=设置!$F$24)*(企贷明细!$N$8:$N$666666))</f>
        <v>0</v>
      </c>
      <c r="C38" s="56">
        <f>SUMPRODUCT((个贷明细!$M$8:$M$666666=A38)*(个贷明细!$Q$8:$Q$666666&lt;设置!$H$23)*(个贷明细!$R$8:$R$666666&gt;设置!$F$24)*(个贷明细!$T$8:$T$666666=0)*(个贷明细!$N$8:$N$666666))+SUMPRODUCT((个贷明细!$M$8:$M$666666=A38)*(个贷明细!$Q$8:$Q$666666&lt;设置!$H$23)*(个贷明细!$R$8:$R$666666&gt;设置!$F$24)*(个贷明细!$T$8:$T$666666&gt;设置!$F$24)*(个贷明细!$N$8:$N$666666))+SUMPRODUCT((企贷明细!$M$8:$M$666666=A38)*(企贷明细!$Q$8:$Q$666666&lt;设置!$H$23)*(企贷明细!$R$8:$R$666666&gt;设置!$F$24)*(企贷明细!$T$8:$T$666666=0)*(企贷明细!$N$8:$N$666666))+SUMPRODUCT((企贷明细!$M$8:$M$666666=A38)*(企贷明细!$Q$8:$Q$666666&lt;设置!$H$23)*(企贷明细!$R$8:$R$666666&gt;设置!$F$24)*(企贷明细!$T$8:$T$666666&gt;设置!$F$24)*(企贷明细!$N$8:$N$666666))</f>
        <v>0</v>
      </c>
      <c r="D38" s="56">
        <f t="shared" si="26"/>
        <v>0</v>
      </c>
      <c r="E38" s="56">
        <f t="shared" si="27"/>
        <v>0</v>
      </c>
      <c r="F38" s="56">
        <f>SUMPRODUCT((个贷明细!$M$8:$M$666666=A38)*(个贷明细!$AM$8:$AM$666666))+SUMPRODUCT((企贷明细!$M$8:$M$666666=A38)*(企贷明细!$AO$8:$AO$666666))</f>
        <v>0</v>
      </c>
      <c r="G38" s="56">
        <f>SUMPRODUCT((个贷明细!$M$8:$M$666666=A38)*(个贷明细!$AN$8:$AN$666666))+SUMPRODUCT((企贷明细!$M$8:$M$666666=A38)*(企贷明细!$AP$8:$AP$666666))</f>
        <v>0</v>
      </c>
      <c r="H38" s="56">
        <f>SUMPRODUCT((个贷明细!$M$8:$M$666666=A38)*(个贷明细!$AO$8:$AO$666666))+SUMPRODUCT((企贷明细!$M$8:$M$666666=A38)*(企贷明细!$AQ$8:$AQ$666666))</f>
        <v>0</v>
      </c>
      <c r="I38" s="56">
        <f t="shared" si="28"/>
        <v>0</v>
      </c>
      <c r="J38" s="56">
        <f>SUMPRODUCT((企贷明细!$M$8:$M$666666=A38)*(企贷明细!$AR$8:$AR$666666))</f>
        <v>0</v>
      </c>
      <c r="K38" s="56">
        <f>SUMPRODUCT((个贷明细!$M$8:$M$666666=A38)*(个贷明细!$AQ$8:$AQ$666666))+SUMPRODUCT((企贷明细!$M$8:$M$666666=A38)*(企贷明细!$AS$8:$AS$666666))+SUMPRODUCT((企贷明细!$M$8:$M$666666=A38)*(企贷明细!$AU$8:$AU$666666))</f>
        <v>0</v>
      </c>
      <c r="L38"/>
      <c r="M38"/>
      <c r="N38"/>
      <c r="O38"/>
      <c r="P38"/>
      <c r="Q38"/>
      <c r="R38"/>
      <c r="S38"/>
      <c r="T38"/>
      <c r="U38"/>
      <c r="V38"/>
      <c r="W38"/>
    </row>
    <row r="39" ht="14.25" spans="1:23">
      <c r="A39" s="68" t="str">
        <f>'1季统计'!A39</f>
        <v>交通银行</v>
      </c>
      <c r="B39" s="56">
        <f>SUMPRODUCT((个贷明细!$M$8:$M$666666=A39)*(个贷明细!$Q$8:$Q$666666&gt;=设置!$F$23)*(个贷明细!$Q$8:$Q$666666&lt;=设置!$F$24)*(个贷明细!$N$8:$N$666666))+SUMPRODUCT((企贷明细!$M$8:$M$666666=A39)*(企贷明细!$Q$8:$Q$666666&gt;=设置!$F$23)*(企贷明细!$Q$8:$Q$666666&lt;=设置!$F$24)*(企贷明细!$N$8:$N$666666))</f>
        <v>0</v>
      </c>
      <c r="C39" s="56">
        <f>SUMPRODUCT((个贷明细!$M$8:$M$666666=A39)*(个贷明细!$Q$8:$Q$666666&lt;设置!$H$23)*(个贷明细!$R$8:$R$666666&gt;设置!$F$24)*(个贷明细!$T$8:$T$666666=0)*(个贷明细!$N$8:$N$666666))+SUMPRODUCT((个贷明细!$M$8:$M$666666=A39)*(个贷明细!$Q$8:$Q$666666&lt;设置!$H$23)*(个贷明细!$R$8:$R$666666&gt;设置!$F$24)*(个贷明细!$T$8:$T$666666&gt;设置!$F$24)*(个贷明细!$N$8:$N$666666))+SUMPRODUCT((企贷明细!$M$8:$M$666666=A39)*(企贷明细!$Q$8:$Q$666666&lt;设置!$H$23)*(企贷明细!$R$8:$R$666666&gt;设置!$F$24)*(企贷明细!$T$8:$T$666666=0)*(企贷明细!$N$8:$N$666666))+SUMPRODUCT((企贷明细!$M$8:$M$666666=A39)*(企贷明细!$Q$8:$Q$666666&lt;设置!$H$23)*(企贷明细!$R$8:$R$666666&gt;设置!$F$24)*(企贷明细!$T$8:$T$666666&gt;设置!$F$24)*(企贷明细!$N$8:$N$666666))</f>
        <v>0</v>
      </c>
      <c r="D39" s="56">
        <f t="shared" si="26"/>
        <v>0</v>
      </c>
      <c r="E39" s="56">
        <f t="shared" si="27"/>
        <v>0</v>
      </c>
      <c r="F39" s="56">
        <f>SUMPRODUCT((个贷明细!$M$8:$M$666666=A39)*(个贷明细!$AM$8:$AM$666666))+SUMPRODUCT((企贷明细!$M$8:$M$666666=A39)*(企贷明细!$AO$8:$AO$666666))</f>
        <v>0</v>
      </c>
      <c r="G39" s="56">
        <f>SUMPRODUCT((个贷明细!$M$8:$M$666666=A39)*(个贷明细!$AN$8:$AN$666666))+SUMPRODUCT((企贷明细!$M$8:$M$666666=A39)*(企贷明细!$AP$8:$AP$666666))</f>
        <v>0</v>
      </c>
      <c r="H39" s="56">
        <f>SUMPRODUCT((个贷明细!$M$8:$M$666666=A39)*(个贷明细!$AO$8:$AO$666666))+SUMPRODUCT((企贷明细!$M$8:$M$666666=A39)*(企贷明细!$AQ$8:$AQ$666666))</f>
        <v>0</v>
      </c>
      <c r="I39" s="56">
        <f t="shared" si="28"/>
        <v>0</v>
      </c>
      <c r="J39" s="56">
        <f>SUMPRODUCT((企贷明细!$M$8:$M$666666=A39)*(企贷明细!$AR$8:$AR$666666))</f>
        <v>0</v>
      </c>
      <c r="K39" s="56">
        <f>SUMPRODUCT((个贷明细!$M$8:$M$666666=A39)*(个贷明细!$AQ$8:$AQ$666666))+SUMPRODUCT((企贷明细!$M$8:$M$666666=A39)*(企贷明细!$AS$8:$AS$666666))+SUMPRODUCT((企贷明细!$M$8:$M$666666=A39)*(企贷明细!$AU$8:$AU$666666))</f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ht="14.25" spans="1:23">
      <c r="A40" s="68" t="str">
        <f>'1季统计'!A40</f>
        <v>邮储银行</v>
      </c>
      <c r="B40" s="56">
        <f>SUMPRODUCT((个贷明细!$M$8:$M$666666=A40)*(个贷明细!$Q$8:$Q$666666&gt;=设置!$F$23)*(个贷明细!$Q$8:$Q$666666&lt;=设置!$F$24)*(个贷明细!$N$8:$N$666666))+SUMPRODUCT((企贷明细!$M$8:$M$666666=A40)*(企贷明细!$Q$8:$Q$666666&gt;=设置!$F$23)*(企贷明细!$Q$8:$Q$666666&lt;=设置!$F$24)*(企贷明细!$N$8:$N$666666))</f>
        <v>0</v>
      </c>
      <c r="C40" s="56">
        <f>SUMPRODUCT((个贷明细!$M$8:$M$666666=A40)*(个贷明细!$Q$8:$Q$666666&lt;设置!$H$23)*(个贷明细!$R$8:$R$666666&gt;设置!$F$24)*(个贷明细!$T$8:$T$666666=0)*(个贷明细!$N$8:$N$666666))+SUMPRODUCT((个贷明细!$M$8:$M$666666=A40)*(个贷明细!$Q$8:$Q$666666&lt;设置!$H$23)*(个贷明细!$R$8:$R$666666&gt;设置!$F$24)*(个贷明细!$T$8:$T$666666&gt;设置!$F$24)*(个贷明细!$N$8:$N$666666))+SUMPRODUCT((企贷明细!$M$8:$M$666666=A40)*(企贷明细!$Q$8:$Q$666666&lt;设置!$H$23)*(企贷明细!$R$8:$R$666666&gt;设置!$F$24)*(企贷明细!$T$8:$T$666666=0)*(企贷明细!$N$8:$N$666666))+SUMPRODUCT((企贷明细!$M$8:$M$666666=A40)*(企贷明细!$Q$8:$Q$666666&lt;设置!$H$23)*(企贷明细!$R$8:$R$666666&gt;设置!$F$24)*(企贷明细!$T$8:$T$666666&gt;设置!$F$24)*(企贷明细!$N$8:$N$666666))</f>
        <v>0</v>
      </c>
      <c r="D40" s="56">
        <f t="shared" si="26"/>
        <v>0</v>
      </c>
      <c r="E40" s="56">
        <f t="shared" si="27"/>
        <v>0</v>
      </c>
      <c r="F40" s="56">
        <f>SUMPRODUCT((个贷明细!$M$8:$M$666666=A40)*(个贷明细!$AM$8:$AM$666666))+SUMPRODUCT((企贷明细!$M$8:$M$666666=A40)*(企贷明细!$AO$8:$AO$666666))</f>
        <v>0</v>
      </c>
      <c r="G40" s="56">
        <f>SUMPRODUCT((个贷明细!$M$8:$M$666666=A40)*(个贷明细!$AN$8:$AN$666666))+SUMPRODUCT((企贷明细!$M$8:$M$666666=A40)*(企贷明细!$AP$8:$AP$666666))</f>
        <v>0</v>
      </c>
      <c r="H40" s="56">
        <f>SUMPRODUCT((个贷明细!$M$8:$M$666666=A40)*(个贷明细!$AO$8:$AO$666666))+SUMPRODUCT((企贷明细!$M$8:$M$666666=A40)*(企贷明细!$AQ$8:$AQ$666666))</f>
        <v>0</v>
      </c>
      <c r="I40" s="56">
        <f t="shared" si="28"/>
        <v>0</v>
      </c>
      <c r="J40" s="56">
        <f>SUMPRODUCT((企贷明细!$M$8:$M$666666=A40)*(企贷明细!$AR$8:$AR$666666))</f>
        <v>0</v>
      </c>
      <c r="K40" s="56">
        <f>SUMPRODUCT((个贷明细!$M$8:$M$666666=A40)*(个贷明细!$AQ$8:$AQ$666666))+SUMPRODUCT((企贷明细!$M$8:$M$666666=A40)*(企贷明细!$AS$8:$AS$666666))+SUMPRODUCT((企贷明细!$M$8:$M$666666=A40)*(企贷明细!$AU$8:$AU$666666))</f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ht="14.25" spans="1:23">
      <c r="A41" s="68" t="str">
        <f>'1季统计'!A41</f>
        <v>招商银行</v>
      </c>
      <c r="B41" s="56">
        <f>SUMPRODUCT((个贷明细!$M$8:$M$666666=A41)*(个贷明细!$Q$8:$Q$666666&gt;=设置!$F$23)*(个贷明细!$Q$8:$Q$666666&lt;=设置!$F$24)*(个贷明细!$N$8:$N$666666))+SUMPRODUCT((企贷明细!$M$8:$M$666666=A41)*(企贷明细!$Q$8:$Q$666666&gt;=设置!$F$23)*(企贷明细!$Q$8:$Q$666666&lt;=设置!$F$24)*(企贷明细!$N$8:$N$666666))</f>
        <v>0</v>
      </c>
      <c r="C41" s="56">
        <f>SUMPRODUCT((个贷明细!$M$8:$M$666666=A41)*(个贷明细!$Q$8:$Q$666666&lt;设置!$H$23)*(个贷明细!$R$8:$R$666666&gt;设置!$F$24)*(个贷明细!$T$8:$T$666666=0)*(个贷明细!$N$8:$N$666666))+SUMPRODUCT((个贷明细!$M$8:$M$666666=A41)*(个贷明细!$Q$8:$Q$666666&lt;设置!$H$23)*(个贷明细!$R$8:$R$666666&gt;设置!$F$24)*(个贷明细!$T$8:$T$666666&gt;设置!$F$24)*(个贷明细!$N$8:$N$666666))+SUMPRODUCT((企贷明细!$M$8:$M$666666=A41)*(企贷明细!$Q$8:$Q$666666&lt;设置!$H$23)*(企贷明细!$R$8:$R$666666&gt;设置!$F$24)*(企贷明细!$T$8:$T$666666=0)*(企贷明细!$N$8:$N$666666))+SUMPRODUCT((企贷明细!$M$8:$M$666666=A41)*(企贷明细!$Q$8:$Q$666666&lt;设置!$H$23)*(企贷明细!$R$8:$R$666666&gt;设置!$F$24)*(企贷明细!$T$8:$T$666666&gt;设置!$F$24)*(企贷明细!$N$8:$N$666666))</f>
        <v>0</v>
      </c>
      <c r="D41" s="56">
        <f t="shared" si="26"/>
        <v>0</v>
      </c>
      <c r="E41" s="56">
        <f t="shared" si="27"/>
        <v>0</v>
      </c>
      <c r="F41" s="56">
        <f>SUMPRODUCT((个贷明细!$M$8:$M$666666=A41)*(个贷明细!$AM$8:$AM$666666))+SUMPRODUCT((企贷明细!$M$8:$M$666666=A41)*(企贷明细!$AO$8:$AO$666666))</f>
        <v>0</v>
      </c>
      <c r="G41" s="56">
        <f>SUMPRODUCT((个贷明细!$M$8:$M$666666=A41)*(个贷明细!$AN$8:$AN$666666))+SUMPRODUCT((企贷明细!$M$8:$M$666666=A41)*(企贷明细!$AP$8:$AP$666666))</f>
        <v>0</v>
      </c>
      <c r="H41" s="56">
        <f>SUMPRODUCT((个贷明细!$M$8:$M$666666=A41)*(个贷明细!$AO$8:$AO$666666))+SUMPRODUCT((企贷明细!$M$8:$M$666666=A41)*(企贷明细!$AQ$8:$AQ$666666))</f>
        <v>0</v>
      </c>
      <c r="I41" s="56">
        <f t="shared" si="28"/>
        <v>0</v>
      </c>
      <c r="J41" s="56">
        <f>SUMPRODUCT((企贷明细!$M$8:$M$666666=A41)*(企贷明细!$AR$8:$AR$666666))</f>
        <v>0</v>
      </c>
      <c r="K41" s="56">
        <f>SUMPRODUCT((个贷明细!$M$8:$M$666666=A41)*(个贷明细!$AQ$8:$AQ$666666))+SUMPRODUCT((企贷明细!$M$8:$M$666666=A41)*(企贷明细!$AS$8:$AS$666666))+SUMPRODUCT((企贷明细!$M$8:$M$666666=A41)*(企贷明细!$AU$8:$AU$666666))</f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ht="14.25" spans="1:23">
      <c r="A42" s="68" t="str">
        <f>'1季统计'!A42</f>
        <v>中信银行</v>
      </c>
      <c r="B42" s="56">
        <f>SUMPRODUCT((个贷明细!$M$8:$M$666666=A42)*(个贷明细!$Q$8:$Q$666666&gt;=设置!$F$23)*(个贷明细!$Q$8:$Q$666666&lt;=设置!$F$24)*(个贷明细!$N$8:$N$666666))+SUMPRODUCT((企贷明细!$M$8:$M$666666=A42)*(企贷明细!$Q$8:$Q$666666&gt;=设置!$F$23)*(企贷明细!$Q$8:$Q$666666&lt;=设置!$F$24)*(企贷明细!$N$8:$N$666666))</f>
        <v>0</v>
      </c>
      <c r="C42" s="56">
        <f>SUMPRODUCT((个贷明细!$M$8:$M$666666=A42)*(个贷明细!$Q$8:$Q$666666&lt;设置!$H$23)*(个贷明细!$R$8:$R$666666&gt;设置!$F$24)*(个贷明细!$T$8:$T$666666=0)*(个贷明细!$N$8:$N$666666))+SUMPRODUCT((个贷明细!$M$8:$M$666666=A42)*(个贷明细!$Q$8:$Q$666666&lt;设置!$H$23)*(个贷明细!$R$8:$R$666666&gt;设置!$F$24)*(个贷明细!$T$8:$T$666666&gt;设置!$F$24)*(个贷明细!$N$8:$N$666666))+SUMPRODUCT((企贷明细!$M$8:$M$666666=A42)*(企贷明细!$Q$8:$Q$666666&lt;设置!$H$23)*(企贷明细!$R$8:$R$666666&gt;设置!$F$24)*(企贷明细!$T$8:$T$666666=0)*(企贷明细!$N$8:$N$666666))+SUMPRODUCT((企贷明细!$M$8:$M$666666=A42)*(企贷明细!$Q$8:$Q$666666&lt;设置!$H$23)*(企贷明细!$R$8:$R$666666&gt;设置!$F$24)*(企贷明细!$T$8:$T$666666&gt;设置!$F$24)*(企贷明细!$N$8:$N$666666))</f>
        <v>0</v>
      </c>
      <c r="D42" s="56">
        <f t="shared" si="26"/>
        <v>0</v>
      </c>
      <c r="E42" s="56">
        <f t="shared" si="27"/>
        <v>0</v>
      </c>
      <c r="F42" s="56">
        <f>SUMPRODUCT((个贷明细!$M$8:$M$666666=A42)*(个贷明细!$AM$8:$AM$666666))+SUMPRODUCT((企贷明细!$M$8:$M$666666=A42)*(企贷明细!$AO$8:$AO$666666))</f>
        <v>0</v>
      </c>
      <c r="G42" s="56">
        <f>SUMPRODUCT((个贷明细!$M$8:$M$666666=A42)*(个贷明细!$AN$8:$AN$666666))+SUMPRODUCT((企贷明细!$M$8:$M$666666=A42)*(企贷明细!$AP$8:$AP$666666))</f>
        <v>0</v>
      </c>
      <c r="H42" s="56">
        <f>SUMPRODUCT((个贷明细!$M$8:$M$666666=A42)*(个贷明细!$AO$8:$AO$666666))+SUMPRODUCT((企贷明细!$M$8:$M$666666=A42)*(企贷明细!$AQ$8:$AQ$666666))</f>
        <v>0</v>
      </c>
      <c r="I42" s="56">
        <f t="shared" si="28"/>
        <v>0</v>
      </c>
      <c r="J42" s="56">
        <f>SUMPRODUCT((企贷明细!$M$8:$M$666666=A42)*(企贷明细!$AR$8:$AR$666666))</f>
        <v>0</v>
      </c>
      <c r="K42" s="56">
        <f>SUMPRODUCT((个贷明细!$M$8:$M$666666=A42)*(个贷明细!$AQ$8:$AQ$666666))+SUMPRODUCT((企贷明细!$M$8:$M$666666=A42)*(企贷明细!$AS$8:$AS$666666))+SUMPRODUCT((企贷明细!$M$8:$M$666666=A42)*(企贷明细!$AU$8:$AU$666666))</f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ht="14.25" spans="1:23">
      <c r="A43" s="68" t="str">
        <f>'1季统计'!A43</f>
        <v>光大银行</v>
      </c>
      <c r="B43" s="56">
        <f>SUMPRODUCT((个贷明细!$M$8:$M$666666=A43)*(个贷明细!$Q$8:$Q$666666&gt;=设置!$F$23)*(个贷明细!$Q$8:$Q$666666&lt;=设置!$F$24)*(个贷明细!$N$8:$N$666666))+SUMPRODUCT((企贷明细!$M$8:$M$666666=A43)*(企贷明细!$Q$8:$Q$666666&gt;=设置!$F$23)*(企贷明细!$Q$8:$Q$666666&lt;=设置!$F$24)*(企贷明细!$N$8:$N$666666))</f>
        <v>0</v>
      </c>
      <c r="C43" s="56">
        <f>SUMPRODUCT((个贷明细!$M$8:$M$666666=A43)*(个贷明细!$Q$8:$Q$666666&lt;设置!$H$23)*(个贷明细!$R$8:$R$666666&gt;设置!$F$24)*(个贷明细!$T$8:$T$666666=0)*(个贷明细!$N$8:$N$666666))+SUMPRODUCT((个贷明细!$M$8:$M$666666=A43)*(个贷明细!$Q$8:$Q$666666&lt;设置!$H$23)*(个贷明细!$R$8:$R$666666&gt;设置!$F$24)*(个贷明细!$T$8:$T$666666&gt;设置!$F$24)*(个贷明细!$N$8:$N$666666))+SUMPRODUCT((企贷明细!$M$8:$M$666666=A43)*(企贷明细!$Q$8:$Q$666666&lt;设置!$H$23)*(企贷明细!$R$8:$R$666666&gt;设置!$F$24)*(企贷明细!$T$8:$T$666666=0)*(企贷明细!$N$8:$N$666666))+SUMPRODUCT((企贷明细!$M$8:$M$666666=A43)*(企贷明细!$Q$8:$Q$666666&lt;设置!$H$23)*(企贷明细!$R$8:$R$666666&gt;设置!$F$24)*(企贷明细!$T$8:$T$666666&gt;设置!$F$24)*(企贷明细!$N$8:$N$666666))</f>
        <v>0</v>
      </c>
      <c r="D43" s="56">
        <f t="shared" si="26"/>
        <v>0</v>
      </c>
      <c r="E43" s="56">
        <f t="shared" si="27"/>
        <v>0</v>
      </c>
      <c r="F43" s="56">
        <f>SUMPRODUCT((个贷明细!$M$8:$M$666666=A43)*(个贷明细!$AM$8:$AM$666666))+SUMPRODUCT((企贷明细!$M$8:$M$666666=A43)*(企贷明细!$AO$8:$AO$666666))</f>
        <v>0</v>
      </c>
      <c r="G43" s="56">
        <f>SUMPRODUCT((个贷明细!$M$8:$M$666666=A43)*(个贷明细!$AN$8:$AN$666666))+SUMPRODUCT((企贷明细!$M$8:$M$666666=A43)*(企贷明细!$AP$8:$AP$666666))</f>
        <v>0</v>
      </c>
      <c r="H43" s="56">
        <f>SUMPRODUCT((个贷明细!$M$8:$M$666666=A43)*(个贷明细!$AO$8:$AO$666666))+SUMPRODUCT((企贷明细!$M$8:$M$666666=A43)*(企贷明细!$AQ$8:$AQ$666666))</f>
        <v>0</v>
      </c>
      <c r="I43" s="56">
        <f t="shared" si="28"/>
        <v>0</v>
      </c>
      <c r="J43" s="56">
        <f>SUMPRODUCT((企贷明细!$M$8:$M$666666=A43)*(企贷明细!$AR$8:$AR$666666))</f>
        <v>0</v>
      </c>
      <c r="K43" s="56">
        <f>SUMPRODUCT((个贷明细!$M$8:$M$666666=A43)*(个贷明细!$AQ$8:$AQ$666666))+SUMPRODUCT((企贷明细!$M$8:$M$666666=A43)*(企贷明细!$AS$8:$AS$666666))+SUMPRODUCT((企贷明细!$M$8:$M$666666=A43)*(企贷明细!$AU$8:$AU$666666))</f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ht="14.25" spans="1:23">
      <c r="A44" s="68" t="str">
        <f>'1季统计'!A44</f>
        <v>华夏银行</v>
      </c>
      <c r="B44" s="56">
        <f>SUMPRODUCT((个贷明细!$M$8:$M$666666=A44)*(个贷明细!$Q$8:$Q$666666&gt;=设置!$F$23)*(个贷明细!$Q$8:$Q$666666&lt;=设置!$F$24)*(个贷明细!$N$8:$N$666666))+SUMPRODUCT((企贷明细!$M$8:$M$666666=A44)*(企贷明细!$Q$8:$Q$666666&gt;=设置!$F$23)*(企贷明细!$Q$8:$Q$666666&lt;=设置!$F$24)*(企贷明细!$N$8:$N$666666))</f>
        <v>0</v>
      </c>
      <c r="C44" s="56">
        <f>SUMPRODUCT((个贷明细!$M$8:$M$666666=A44)*(个贷明细!$Q$8:$Q$666666&lt;设置!$H$23)*(个贷明细!$R$8:$R$666666&gt;设置!$F$24)*(个贷明细!$T$8:$T$666666=0)*(个贷明细!$N$8:$N$666666))+SUMPRODUCT((个贷明细!$M$8:$M$666666=A44)*(个贷明细!$Q$8:$Q$666666&lt;设置!$H$23)*(个贷明细!$R$8:$R$666666&gt;设置!$F$24)*(个贷明细!$T$8:$T$666666&gt;设置!$F$24)*(个贷明细!$N$8:$N$666666))+SUMPRODUCT((企贷明细!$M$8:$M$666666=A44)*(企贷明细!$Q$8:$Q$666666&lt;设置!$H$23)*(企贷明细!$R$8:$R$666666&gt;设置!$F$24)*(企贷明细!$T$8:$T$666666=0)*(企贷明细!$N$8:$N$666666))+SUMPRODUCT((企贷明细!$M$8:$M$666666=A44)*(企贷明细!$Q$8:$Q$666666&lt;设置!$H$23)*(企贷明细!$R$8:$R$666666&gt;设置!$F$24)*(企贷明细!$T$8:$T$666666&gt;设置!$F$24)*(企贷明细!$N$8:$N$666666))</f>
        <v>0</v>
      </c>
      <c r="D44" s="56">
        <f t="shared" si="26"/>
        <v>0</v>
      </c>
      <c r="E44" s="56">
        <f t="shared" si="27"/>
        <v>0</v>
      </c>
      <c r="F44" s="56">
        <f>SUMPRODUCT((个贷明细!$M$8:$M$666666=A44)*(个贷明细!$AM$8:$AM$666666))+SUMPRODUCT((企贷明细!$M$8:$M$666666=A44)*(企贷明细!$AO$8:$AO$666666))</f>
        <v>0</v>
      </c>
      <c r="G44" s="56">
        <f>SUMPRODUCT((个贷明细!$M$8:$M$666666=A44)*(个贷明细!$AN$8:$AN$666666))+SUMPRODUCT((企贷明细!$M$8:$M$666666=A44)*(企贷明细!$AP$8:$AP$666666))</f>
        <v>0</v>
      </c>
      <c r="H44" s="56">
        <f>SUMPRODUCT((个贷明细!$M$8:$M$666666=A44)*(个贷明细!$AO$8:$AO$666666))+SUMPRODUCT((企贷明细!$M$8:$M$666666=A44)*(企贷明细!$AQ$8:$AQ$666666))</f>
        <v>0</v>
      </c>
      <c r="I44" s="56">
        <f t="shared" si="28"/>
        <v>0</v>
      </c>
      <c r="J44" s="56">
        <f>SUMPRODUCT((企贷明细!$M$8:$M$666666=A44)*(企贷明细!$AR$8:$AR$666666))</f>
        <v>0</v>
      </c>
      <c r="K44" s="56">
        <f>SUMPRODUCT((个贷明细!$M$8:$M$666666=A44)*(个贷明细!$AQ$8:$AQ$666666))+SUMPRODUCT((企贷明细!$M$8:$M$666666=A44)*(企贷明细!$AS$8:$AS$666666))+SUMPRODUCT((企贷明细!$M$8:$M$666666=A44)*(企贷明细!$AU$8:$AU$666666))</f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ht="14.25" spans="1:23">
      <c r="A45" s="68" t="str">
        <f>'1季统计'!A45</f>
        <v>浦发银行</v>
      </c>
      <c r="B45" s="56">
        <f>SUMPRODUCT((个贷明细!$M$8:$M$666666=A45)*(个贷明细!$Q$8:$Q$666666&gt;=设置!$F$23)*(个贷明细!$Q$8:$Q$666666&lt;=设置!$F$24)*(个贷明细!$N$8:$N$666666))+SUMPRODUCT((企贷明细!$M$8:$M$666666=A45)*(企贷明细!$Q$8:$Q$666666&gt;=设置!$F$23)*(企贷明细!$Q$8:$Q$666666&lt;=设置!$F$24)*(企贷明细!$N$8:$N$666666))</f>
        <v>0</v>
      </c>
      <c r="C45" s="56">
        <f>SUMPRODUCT((个贷明细!$M$8:$M$666666=A45)*(个贷明细!$Q$8:$Q$666666&lt;设置!$H$23)*(个贷明细!$R$8:$R$666666&gt;设置!$F$24)*(个贷明细!$T$8:$T$666666=0)*(个贷明细!$N$8:$N$666666))+SUMPRODUCT((个贷明细!$M$8:$M$666666=A45)*(个贷明细!$Q$8:$Q$666666&lt;设置!$H$23)*(个贷明细!$R$8:$R$666666&gt;设置!$F$24)*(个贷明细!$T$8:$T$666666&gt;设置!$F$24)*(个贷明细!$N$8:$N$666666))+SUMPRODUCT((企贷明细!$M$8:$M$666666=A45)*(企贷明细!$Q$8:$Q$666666&lt;设置!$H$23)*(企贷明细!$R$8:$R$666666&gt;设置!$F$24)*(企贷明细!$T$8:$T$666666=0)*(企贷明细!$N$8:$N$666666))+SUMPRODUCT((企贷明细!$M$8:$M$666666=A45)*(企贷明细!$Q$8:$Q$666666&lt;设置!$H$23)*(企贷明细!$R$8:$R$666666&gt;设置!$F$24)*(企贷明细!$T$8:$T$666666&gt;设置!$F$24)*(企贷明细!$N$8:$N$666666))</f>
        <v>0</v>
      </c>
      <c r="D45" s="56">
        <f t="shared" si="26"/>
        <v>0</v>
      </c>
      <c r="E45" s="56">
        <f t="shared" si="27"/>
        <v>0</v>
      </c>
      <c r="F45" s="56">
        <f>SUMPRODUCT((个贷明细!$M$8:$M$666666=A45)*(个贷明细!$AM$8:$AM$666666))+SUMPRODUCT((企贷明细!$M$8:$M$666666=A45)*(企贷明细!$AO$8:$AO$666666))</f>
        <v>0</v>
      </c>
      <c r="G45" s="56">
        <f>SUMPRODUCT((个贷明细!$M$8:$M$666666=A45)*(个贷明细!$AN$8:$AN$666666))+SUMPRODUCT((企贷明细!$M$8:$M$666666=A45)*(企贷明细!$AP$8:$AP$666666))</f>
        <v>0</v>
      </c>
      <c r="H45" s="56">
        <f>SUMPRODUCT((个贷明细!$M$8:$M$666666=A45)*(个贷明细!$AO$8:$AO$666666))+SUMPRODUCT((企贷明细!$M$8:$M$666666=A45)*(企贷明细!$AQ$8:$AQ$666666))</f>
        <v>0</v>
      </c>
      <c r="I45" s="56">
        <f t="shared" si="28"/>
        <v>0</v>
      </c>
      <c r="J45" s="56">
        <f>SUMPRODUCT((企贷明细!$M$8:$M$666666=A45)*(企贷明细!$AR$8:$AR$666666))</f>
        <v>0</v>
      </c>
      <c r="K45" s="56">
        <f>SUMPRODUCT((个贷明细!$M$8:$M$666666=A45)*(个贷明细!$AQ$8:$AQ$666666))+SUMPRODUCT((企贷明细!$M$8:$M$666666=A45)*(企贷明细!$AS$8:$AS$666666))+SUMPRODUCT((企贷明细!$M$8:$M$666666=A45)*(企贷明细!$AU$8:$AU$666666))</f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ht="14.25" spans="1:23">
      <c r="A46" s="68" t="str">
        <f>'1季统计'!A46</f>
        <v>民生银行</v>
      </c>
      <c r="B46" s="56">
        <f>SUMPRODUCT((个贷明细!$M$8:$M$666666=A46)*(个贷明细!$Q$8:$Q$666666&gt;=设置!$F$23)*(个贷明细!$Q$8:$Q$666666&lt;=设置!$F$24)*(个贷明细!$N$8:$N$666666))+SUMPRODUCT((企贷明细!$M$8:$M$666666=A46)*(企贷明细!$Q$8:$Q$666666&gt;=设置!$F$23)*(企贷明细!$Q$8:$Q$666666&lt;=设置!$F$24)*(企贷明细!$N$8:$N$666666))</f>
        <v>0</v>
      </c>
      <c r="C46" s="56">
        <f>SUMPRODUCT((个贷明细!$M$8:$M$666666=A46)*(个贷明细!$Q$8:$Q$666666&lt;设置!$H$23)*(个贷明细!$R$8:$R$666666&gt;设置!$F$24)*(个贷明细!$T$8:$T$666666=0)*(个贷明细!$N$8:$N$666666))+SUMPRODUCT((个贷明细!$M$8:$M$666666=A46)*(个贷明细!$Q$8:$Q$666666&lt;设置!$H$23)*(个贷明细!$R$8:$R$666666&gt;设置!$F$24)*(个贷明细!$T$8:$T$666666&gt;设置!$F$24)*(个贷明细!$N$8:$N$666666))+SUMPRODUCT((企贷明细!$M$8:$M$666666=A46)*(企贷明细!$Q$8:$Q$666666&lt;设置!$H$23)*(企贷明细!$R$8:$R$666666&gt;设置!$F$24)*(企贷明细!$T$8:$T$666666=0)*(企贷明细!$N$8:$N$666666))+SUMPRODUCT((企贷明细!$M$8:$M$666666=A46)*(企贷明细!$Q$8:$Q$666666&lt;设置!$H$23)*(企贷明细!$R$8:$R$666666&gt;设置!$F$24)*(企贷明细!$T$8:$T$666666&gt;设置!$F$24)*(企贷明细!$N$8:$N$666666))</f>
        <v>0</v>
      </c>
      <c r="D46" s="56">
        <f t="shared" si="26"/>
        <v>0</v>
      </c>
      <c r="E46" s="56">
        <f t="shared" si="27"/>
        <v>0</v>
      </c>
      <c r="F46" s="56">
        <f>SUMPRODUCT((个贷明细!$M$8:$M$666666=A46)*(个贷明细!$AM$8:$AM$666666))+SUMPRODUCT((企贷明细!$M$8:$M$666666=A46)*(企贷明细!$AO$8:$AO$666666))</f>
        <v>0</v>
      </c>
      <c r="G46" s="56">
        <f>SUMPRODUCT((个贷明细!$M$8:$M$666666=A46)*(个贷明细!$AN$8:$AN$666666))+SUMPRODUCT((企贷明细!$M$8:$M$666666=A46)*(企贷明细!$AP$8:$AP$666666))</f>
        <v>0</v>
      </c>
      <c r="H46" s="56">
        <f>SUMPRODUCT((个贷明细!$M$8:$M$666666=A46)*(个贷明细!$AO$8:$AO$666666))+SUMPRODUCT((企贷明细!$M$8:$M$666666=A46)*(企贷明细!$AQ$8:$AQ$666666))</f>
        <v>0</v>
      </c>
      <c r="I46" s="56">
        <f t="shared" si="28"/>
        <v>0</v>
      </c>
      <c r="J46" s="56">
        <f>SUMPRODUCT((企贷明细!$M$8:$M$666666=A46)*(企贷明细!$AR$8:$AR$666666))</f>
        <v>0</v>
      </c>
      <c r="K46" s="56">
        <f>SUMPRODUCT((个贷明细!$M$8:$M$666666=A46)*(个贷明细!$AQ$8:$AQ$666666))+SUMPRODUCT((企贷明细!$M$8:$M$666666=A46)*(企贷明细!$AS$8:$AS$666666))+SUMPRODUCT((企贷明细!$M$8:$M$666666=A46)*(企贷明细!$AU$8:$AU$666666))</f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ht="14.25" spans="1:23">
      <c r="A47" s="68" t="str">
        <f>'1季统计'!A47</f>
        <v>广发银行</v>
      </c>
      <c r="B47" s="56">
        <f>SUMPRODUCT((个贷明细!$M$8:$M$666666=A47)*(个贷明细!$Q$8:$Q$666666&gt;=设置!$F$23)*(个贷明细!$Q$8:$Q$666666&lt;=设置!$F$24)*(个贷明细!$N$8:$N$666666))+SUMPRODUCT((企贷明细!$M$8:$M$666666=A47)*(企贷明细!$Q$8:$Q$666666&gt;=设置!$F$23)*(企贷明细!$Q$8:$Q$666666&lt;=设置!$F$24)*(企贷明细!$N$8:$N$666666))</f>
        <v>0</v>
      </c>
      <c r="C47" s="56">
        <f>SUMPRODUCT((个贷明细!$M$8:$M$666666=A47)*(个贷明细!$Q$8:$Q$666666&lt;设置!$H$23)*(个贷明细!$R$8:$R$666666&gt;设置!$F$24)*(个贷明细!$T$8:$T$666666=0)*(个贷明细!$N$8:$N$666666))+SUMPRODUCT((个贷明细!$M$8:$M$666666=A47)*(个贷明细!$Q$8:$Q$666666&lt;设置!$H$23)*(个贷明细!$R$8:$R$666666&gt;设置!$F$24)*(个贷明细!$T$8:$T$666666&gt;设置!$F$24)*(个贷明细!$N$8:$N$666666))+SUMPRODUCT((企贷明细!$M$8:$M$666666=A47)*(企贷明细!$Q$8:$Q$666666&lt;设置!$H$23)*(企贷明细!$R$8:$R$666666&gt;设置!$F$24)*(企贷明细!$T$8:$T$666666=0)*(企贷明细!$N$8:$N$666666))+SUMPRODUCT((企贷明细!$M$8:$M$666666=A47)*(企贷明细!$Q$8:$Q$666666&lt;设置!$H$23)*(企贷明细!$R$8:$R$666666&gt;设置!$F$24)*(企贷明细!$T$8:$T$666666&gt;设置!$F$24)*(企贷明细!$N$8:$N$666666))</f>
        <v>0</v>
      </c>
      <c r="D47" s="56">
        <f t="shared" si="26"/>
        <v>0</v>
      </c>
      <c r="E47" s="56">
        <f t="shared" si="27"/>
        <v>0</v>
      </c>
      <c r="F47" s="56">
        <f>SUMPRODUCT((个贷明细!$M$8:$M$666666=A47)*(个贷明细!$AM$8:$AM$666666))+SUMPRODUCT((企贷明细!$M$8:$M$666666=A47)*(企贷明细!$AO$8:$AO$666666))</f>
        <v>0</v>
      </c>
      <c r="G47" s="56">
        <f>SUMPRODUCT((个贷明细!$M$8:$M$666666=A47)*(个贷明细!$AN$8:$AN$666666))+SUMPRODUCT((企贷明细!$M$8:$M$666666=A47)*(企贷明细!$AP$8:$AP$666666))</f>
        <v>0</v>
      </c>
      <c r="H47" s="56">
        <f>SUMPRODUCT((个贷明细!$M$8:$M$666666=A47)*(个贷明细!$AO$8:$AO$666666))+SUMPRODUCT((企贷明细!$M$8:$M$666666=A47)*(企贷明细!$AQ$8:$AQ$666666))</f>
        <v>0</v>
      </c>
      <c r="I47" s="56">
        <f t="shared" si="28"/>
        <v>0</v>
      </c>
      <c r="J47" s="56">
        <f>SUMPRODUCT((企贷明细!$M$8:$M$666666=A47)*(企贷明细!$AR$8:$AR$666666))</f>
        <v>0</v>
      </c>
      <c r="K47" s="56">
        <f>SUMPRODUCT((个贷明细!$M$8:$M$666666=A47)*(个贷明细!$AQ$8:$AQ$666666))+SUMPRODUCT((企贷明细!$M$8:$M$666666=A47)*(企贷明细!$AS$8:$AS$666666))+SUMPRODUCT((企贷明细!$M$8:$M$666666=A47)*(企贷明细!$AU$8:$AU$666666))</f>
        <v>0</v>
      </c>
      <c r="L47"/>
      <c r="M47"/>
      <c r="N47"/>
      <c r="O47"/>
      <c r="P47"/>
      <c r="Q47"/>
      <c r="R47"/>
      <c r="S47"/>
      <c r="T47"/>
      <c r="U47"/>
      <c r="V47"/>
      <c r="W47"/>
    </row>
    <row r="48" ht="14.25" spans="1:23">
      <c r="A48" s="68" t="str">
        <f>'1季统计'!A48</f>
        <v>兴业银行</v>
      </c>
      <c r="B48" s="56">
        <f>SUMPRODUCT((个贷明细!$M$8:$M$666666=A48)*(个贷明细!$Q$8:$Q$666666&gt;=设置!$F$23)*(个贷明细!$Q$8:$Q$666666&lt;=设置!$F$24)*(个贷明细!$N$8:$N$666666))+SUMPRODUCT((企贷明细!$M$8:$M$666666=A48)*(企贷明细!$Q$8:$Q$666666&gt;=设置!$F$23)*(企贷明细!$Q$8:$Q$666666&lt;=设置!$F$24)*(企贷明细!$N$8:$N$666666))</f>
        <v>0</v>
      </c>
      <c r="C48" s="56">
        <f>SUMPRODUCT((个贷明细!$M$8:$M$666666=A48)*(个贷明细!$Q$8:$Q$666666&lt;设置!$H$23)*(个贷明细!$R$8:$R$666666&gt;设置!$F$24)*(个贷明细!$T$8:$T$666666=0)*(个贷明细!$N$8:$N$666666))+SUMPRODUCT((个贷明细!$M$8:$M$666666=A48)*(个贷明细!$Q$8:$Q$666666&lt;设置!$H$23)*(个贷明细!$R$8:$R$666666&gt;设置!$F$24)*(个贷明细!$T$8:$T$666666&gt;设置!$F$24)*(个贷明细!$N$8:$N$666666))+SUMPRODUCT((企贷明细!$M$8:$M$666666=A48)*(企贷明细!$Q$8:$Q$666666&lt;设置!$H$23)*(企贷明细!$R$8:$R$666666&gt;设置!$F$24)*(企贷明细!$T$8:$T$666666=0)*(企贷明细!$N$8:$N$666666))+SUMPRODUCT((企贷明细!$M$8:$M$666666=A48)*(企贷明细!$Q$8:$Q$666666&lt;设置!$H$23)*(企贷明细!$R$8:$R$666666&gt;设置!$F$24)*(企贷明细!$T$8:$T$666666&gt;设置!$F$24)*(企贷明细!$N$8:$N$666666))</f>
        <v>0</v>
      </c>
      <c r="D48" s="56">
        <f t="shared" si="26"/>
        <v>0</v>
      </c>
      <c r="E48" s="56">
        <f t="shared" si="27"/>
        <v>0</v>
      </c>
      <c r="F48" s="56">
        <f>SUMPRODUCT((个贷明细!$M$8:$M$666666=A48)*(个贷明细!$AM$8:$AM$666666))+SUMPRODUCT((企贷明细!$M$8:$M$666666=A48)*(企贷明细!$AO$8:$AO$666666))</f>
        <v>0</v>
      </c>
      <c r="G48" s="56">
        <f>SUMPRODUCT((个贷明细!$M$8:$M$666666=A48)*(个贷明细!$AN$8:$AN$666666))+SUMPRODUCT((企贷明细!$M$8:$M$666666=A48)*(企贷明细!$AP$8:$AP$666666))</f>
        <v>0</v>
      </c>
      <c r="H48" s="56">
        <f>SUMPRODUCT((个贷明细!$M$8:$M$666666=A48)*(个贷明细!$AO$8:$AO$666666))+SUMPRODUCT((企贷明细!$M$8:$M$666666=A48)*(企贷明细!$AQ$8:$AQ$666666))</f>
        <v>0</v>
      </c>
      <c r="I48" s="56">
        <f t="shared" si="28"/>
        <v>0</v>
      </c>
      <c r="J48" s="56">
        <f>SUMPRODUCT((企贷明细!$M$8:$M$666666=A48)*(企贷明细!$AR$8:$AR$666666))</f>
        <v>0</v>
      </c>
      <c r="K48" s="56">
        <f>SUMPRODUCT((个贷明细!$M$8:$M$666666=A48)*(个贷明细!$AQ$8:$AQ$666666))+SUMPRODUCT((企贷明细!$M$8:$M$666666=A48)*(企贷明细!$AS$8:$AS$666666))+SUMPRODUCT((企贷明细!$M$8:$M$666666=A48)*(企贷明细!$AU$8:$AU$666666))</f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ht="14.25" spans="1:23">
      <c r="A49" s="68" t="str">
        <f>'1季统计'!A49</f>
        <v>平安银行</v>
      </c>
      <c r="B49" s="56">
        <f>SUMPRODUCT((个贷明细!$M$8:$M$666666=A49)*(个贷明细!$Q$8:$Q$666666&gt;=设置!$F$23)*(个贷明细!$Q$8:$Q$666666&lt;=设置!$F$24)*(个贷明细!$N$8:$N$666666))+SUMPRODUCT((企贷明细!$M$8:$M$666666=A49)*(企贷明细!$Q$8:$Q$666666&gt;=设置!$F$23)*(企贷明细!$Q$8:$Q$666666&lt;=设置!$F$24)*(企贷明细!$N$8:$N$666666))</f>
        <v>0</v>
      </c>
      <c r="C49" s="56">
        <f>SUMPRODUCT((个贷明细!$M$8:$M$666666=A49)*(个贷明细!$Q$8:$Q$666666&lt;设置!$H$23)*(个贷明细!$R$8:$R$666666&gt;设置!$F$24)*(个贷明细!$T$8:$T$666666=0)*(个贷明细!$N$8:$N$666666))+SUMPRODUCT((个贷明细!$M$8:$M$666666=A49)*(个贷明细!$Q$8:$Q$666666&lt;设置!$H$23)*(个贷明细!$R$8:$R$666666&gt;设置!$F$24)*(个贷明细!$T$8:$T$666666&gt;设置!$F$24)*(个贷明细!$N$8:$N$666666))+SUMPRODUCT((企贷明细!$M$8:$M$666666=A49)*(企贷明细!$Q$8:$Q$666666&lt;设置!$H$23)*(企贷明细!$R$8:$R$666666&gt;设置!$F$24)*(企贷明细!$T$8:$T$666666=0)*(企贷明细!$N$8:$N$666666))+SUMPRODUCT((企贷明细!$M$8:$M$666666=A49)*(企贷明细!$Q$8:$Q$666666&lt;设置!$H$23)*(企贷明细!$R$8:$R$666666&gt;设置!$F$24)*(企贷明细!$T$8:$T$666666&gt;设置!$F$24)*(企贷明细!$N$8:$N$666666))</f>
        <v>0</v>
      </c>
      <c r="D49" s="56">
        <f t="shared" si="26"/>
        <v>0</v>
      </c>
      <c r="E49" s="56">
        <f t="shared" si="27"/>
        <v>0</v>
      </c>
      <c r="F49" s="56">
        <f>SUMPRODUCT((个贷明细!$M$8:$M$666666=A49)*(个贷明细!$AM$8:$AM$666666))+SUMPRODUCT((企贷明细!$M$8:$M$666666=A49)*(企贷明细!$AO$8:$AO$666666))</f>
        <v>0</v>
      </c>
      <c r="G49" s="56">
        <f>SUMPRODUCT((个贷明细!$M$8:$M$666666=A49)*(个贷明细!$AN$8:$AN$666666))+SUMPRODUCT((企贷明细!$M$8:$M$666666=A49)*(企贷明细!$AP$8:$AP$666666))</f>
        <v>0</v>
      </c>
      <c r="H49" s="56">
        <f>SUMPRODUCT((个贷明细!$M$8:$M$666666=A49)*(个贷明细!$AO$8:$AO$666666))+SUMPRODUCT((企贷明细!$M$8:$M$666666=A49)*(企贷明细!$AQ$8:$AQ$666666))</f>
        <v>0</v>
      </c>
      <c r="I49" s="56">
        <f t="shared" si="28"/>
        <v>0</v>
      </c>
      <c r="J49" s="56">
        <f>SUMPRODUCT((企贷明细!$M$8:$M$666666=A49)*(企贷明细!$AR$8:$AR$666666))</f>
        <v>0</v>
      </c>
      <c r="K49" s="56">
        <f>SUMPRODUCT((个贷明细!$M$8:$M$666666=A49)*(个贷明细!$AQ$8:$AQ$666666))+SUMPRODUCT((企贷明细!$M$8:$M$666666=A49)*(企贷明细!$AS$8:$AS$666666))+SUMPRODUCT((企贷明细!$M$8:$M$666666=A49)*(企贷明细!$AU$8:$AU$666666))</f>
        <v>0</v>
      </c>
      <c r="L49"/>
      <c r="M49"/>
      <c r="N49"/>
      <c r="O49"/>
      <c r="P49"/>
      <c r="Q49"/>
      <c r="R49"/>
      <c r="S49"/>
      <c r="T49"/>
      <c r="U49"/>
      <c r="V49"/>
      <c r="W49"/>
    </row>
    <row r="50" ht="14.25" spans="1:23">
      <c r="A50" s="68" t="str">
        <f>'1季统计'!A50</f>
        <v>其他股份银行</v>
      </c>
      <c r="B50" s="56">
        <f>SUMPRODUCT((个贷明细!$M$8:$M$666666=A50)*(个贷明细!$Q$8:$Q$666666&gt;=设置!$F$23)*(个贷明细!$Q$8:$Q$666666&lt;=设置!$F$24)*(个贷明细!$N$8:$N$666666))+SUMPRODUCT((企贷明细!$M$8:$M$666666=A50)*(企贷明细!$Q$8:$Q$666666&gt;=设置!$F$23)*(企贷明细!$Q$8:$Q$666666&lt;=设置!$F$24)*(企贷明细!$N$8:$N$666666))</f>
        <v>0</v>
      </c>
      <c r="C50" s="56">
        <f>SUMPRODUCT((个贷明细!$M$8:$M$666666=A50)*(个贷明细!$Q$8:$Q$666666&lt;设置!$H$23)*(个贷明细!$R$8:$R$666666&gt;设置!$F$24)*(个贷明细!$T$8:$T$666666=0)*(个贷明细!$N$8:$N$666666))+SUMPRODUCT((个贷明细!$M$8:$M$666666=A50)*(个贷明细!$Q$8:$Q$666666&lt;设置!$H$23)*(个贷明细!$R$8:$R$666666&gt;设置!$F$24)*(个贷明细!$T$8:$T$666666&gt;设置!$F$24)*(个贷明细!$N$8:$N$666666))+SUMPRODUCT((企贷明细!$M$8:$M$666666=A50)*(企贷明细!$Q$8:$Q$666666&lt;设置!$H$23)*(企贷明细!$R$8:$R$666666&gt;设置!$F$24)*(企贷明细!$T$8:$T$666666=0)*(企贷明细!$N$8:$N$666666))+SUMPRODUCT((企贷明细!$M$8:$M$666666=A50)*(企贷明细!$Q$8:$Q$666666&lt;设置!$H$23)*(企贷明细!$R$8:$R$666666&gt;设置!$F$24)*(企贷明细!$T$8:$T$666666&gt;设置!$F$24)*(企贷明细!$N$8:$N$666666))</f>
        <v>0</v>
      </c>
      <c r="D50" s="56">
        <f t="shared" si="26"/>
        <v>0</v>
      </c>
      <c r="E50" s="56">
        <f t="shared" si="27"/>
        <v>0</v>
      </c>
      <c r="F50" s="56">
        <f>SUMPRODUCT((个贷明细!$M$8:$M$666666=A50)*(个贷明细!$AM$8:$AM$666666))+SUMPRODUCT((企贷明细!$M$8:$M$666666=A50)*(企贷明细!$AO$8:$AO$666666))</f>
        <v>0</v>
      </c>
      <c r="G50" s="56">
        <f>SUMPRODUCT((个贷明细!$M$8:$M$666666=A50)*(个贷明细!$AN$8:$AN$666666))+SUMPRODUCT((企贷明细!$M$8:$M$666666=A50)*(企贷明细!$AP$8:$AP$666666))</f>
        <v>0</v>
      </c>
      <c r="H50" s="56">
        <f>SUMPRODUCT((个贷明细!$M$8:$M$666666=A50)*(个贷明细!$AO$8:$AO$666666))+SUMPRODUCT((企贷明细!$M$8:$M$666666=A50)*(企贷明细!$AQ$8:$AQ$666666))</f>
        <v>0</v>
      </c>
      <c r="I50" s="56">
        <f t="shared" si="28"/>
        <v>0</v>
      </c>
      <c r="J50" s="56">
        <f>SUMPRODUCT((企贷明细!$M$8:$M$666666=A50)*(企贷明细!$AR$8:$AR$666666))</f>
        <v>0</v>
      </c>
      <c r="K50" s="56">
        <f>SUMPRODUCT((个贷明细!$M$8:$M$666666=A50)*(个贷明细!$AQ$8:$AQ$666666))+SUMPRODUCT((企贷明细!$M$8:$M$666666=A50)*(企贷明细!$AS$8:$AS$666666))+SUMPRODUCT((企贷明细!$M$8:$M$666666=A50)*(企贷明细!$AU$8:$AU$666666))</f>
        <v>0</v>
      </c>
      <c r="L50"/>
      <c r="M50"/>
      <c r="N50"/>
      <c r="O50"/>
      <c r="P50"/>
      <c r="Q50"/>
      <c r="R50"/>
      <c r="S50"/>
      <c r="T50"/>
      <c r="U50"/>
      <c r="V50"/>
      <c r="W50"/>
    </row>
    <row r="51" ht="14.25" spans="1:23">
      <c r="A51" s="68" t="str">
        <f>'1季统计'!A51</f>
        <v>其他股份银行2</v>
      </c>
      <c r="B51" s="56">
        <f>SUMPRODUCT((个贷明细!$M$8:$M$666666=A51)*(个贷明细!$Q$8:$Q$666666&gt;=设置!$F$23)*(个贷明细!$Q$8:$Q$666666&lt;=设置!$F$24)*(个贷明细!$N$8:$N$666666))+SUMPRODUCT((企贷明细!$M$8:$M$666666=A51)*(企贷明细!$Q$8:$Q$666666&gt;=设置!$F$23)*(企贷明细!$Q$8:$Q$666666&lt;=设置!$F$24)*(企贷明细!$N$8:$N$666666))</f>
        <v>0</v>
      </c>
      <c r="C51" s="56">
        <f>SUMPRODUCT((个贷明细!$M$8:$M$666666=A51)*(个贷明细!$Q$8:$Q$666666&lt;设置!$H$23)*(个贷明细!$R$8:$R$666666&gt;设置!$F$24)*(个贷明细!$T$8:$T$666666=0)*(个贷明细!$N$8:$N$666666))+SUMPRODUCT((个贷明细!$M$8:$M$666666=A51)*(个贷明细!$Q$8:$Q$666666&lt;设置!$H$23)*(个贷明细!$R$8:$R$666666&gt;设置!$F$24)*(个贷明细!$T$8:$T$666666&gt;设置!$F$24)*(个贷明细!$N$8:$N$666666))+SUMPRODUCT((企贷明细!$M$8:$M$666666=A51)*(企贷明细!$Q$8:$Q$666666&lt;设置!$H$23)*(企贷明细!$R$8:$R$666666&gt;设置!$F$24)*(企贷明细!$T$8:$T$666666=0)*(企贷明细!$N$8:$N$666666))+SUMPRODUCT((企贷明细!$M$8:$M$666666=A51)*(企贷明细!$Q$8:$Q$666666&lt;设置!$H$23)*(企贷明细!$R$8:$R$666666&gt;设置!$F$24)*(企贷明细!$T$8:$T$666666&gt;设置!$F$24)*(企贷明细!$N$8:$N$666666))</f>
        <v>0</v>
      </c>
      <c r="D51" s="56">
        <f t="shared" si="26"/>
        <v>0</v>
      </c>
      <c r="E51" s="56">
        <f t="shared" si="27"/>
        <v>0</v>
      </c>
      <c r="F51" s="56">
        <f>SUMPRODUCT((个贷明细!$M$8:$M$666666=A51)*(个贷明细!$AM$8:$AM$666666))+SUMPRODUCT((企贷明细!$M$8:$M$666666=A51)*(企贷明细!$AO$8:$AO$666666))</f>
        <v>0</v>
      </c>
      <c r="G51" s="56">
        <f>SUMPRODUCT((个贷明细!$M$8:$M$666666=A51)*(个贷明细!$AN$8:$AN$666666))+SUMPRODUCT((企贷明细!$M$8:$M$666666=A51)*(企贷明细!$AP$8:$AP$666666))</f>
        <v>0</v>
      </c>
      <c r="H51" s="56">
        <f>SUMPRODUCT((个贷明细!$M$8:$M$666666=A51)*(个贷明细!$AO$8:$AO$666666))+SUMPRODUCT((企贷明细!$M$8:$M$666666=A51)*(企贷明细!$AQ$8:$AQ$666666))</f>
        <v>0</v>
      </c>
      <c r="I51" s="56">
        <f t="shared" si="28"/>
        <v>0</v>
      </c>
      <c r="J51" s="56">
        <f>SUMPRODUCT((企贷明细!$M$8:$M$666666=A51)*(企贷明细!$AR$8:$AR$666666))</f>
        <v>0</v>
      </c>
      <c r="K51" s="56">
        <f>SUMPRODUCT((个贷明细!$M$8:$M$666666=A51)*(个贷明细!$AQ$8:$AQ$666666))+SUMPRODUCT((企贷明细!$M$8:$M$666666=A51)*(企贷明细!$AS$8:$AS$666666))+SUMPRODUCT((企贷明细!$M$8:$M$666666=A51)*(企贷明细!$AU$8:$AU$666666))</f>
        <v>0</v>
      </c>
      <c r="L51"/>
      <c r="M51"/>
      <c r="N51"/>
      <c r="O51"/>
      <c r="P51"/>
      <c r="Q51"/>
      <c r="R51"/>
      <c r="S51"/>
      <c r="T51"/>
      <c r="U51"/>
      <c r="V51"/>
      <c r="W51"/>
    </row>
    <row r="52" ht="14.25" spans="1:23">
      <c r="A52" s="68" t="str">
        <f>'1季统计'!A52</f>
        <v>其他股份银行3</v>
      </c>
      <c r="B52" s="56">
        <f>SUMPRODUCT((个贷明细!$M$8:$M$666666=A52)*(个贷明细!$Q$8:$Q$666666&gt;=设置!$F$23)*(个贷明细!$Q$8:$Q$666666&lt;=设置!$F$24)*(个贷明细!$N$8:$N$666666))+SUMPRODUCT((企贷明细!$M$8:$M$666666=A52)*(企贷明细!$Q$8:$Q$666666&gt;=设置!$F$23)*(企贷明细!$Q$8:$Q$666666&lt;=设置!$F$24)*(企贷明细!$N$8:$N$666666))</f>
        <v>0</v>
      </c>
      <c r="C52" s="56">
        <f>SUMPRODUCT((个贷明细!$M$8:$M$666666=A52)*(个贷明细!$Q$8:$Q$666666&lt;设置!$H$23)*(个贷明细!$R$8:$R$666666&gt;设置!$F$24)*(个贷明细!$T$8:$T$666666=0)*(个贷明细!$N$8:$N$666666))+SUMPRODUCT((个贷明细!$M$8:$M$666666=A52)*(个贷明细!$Q$8:$Q$666666&lt;设置!$H$23)*(个贷明细!$R$8:$R$666666&gt;设置!$F$24)*(个贷明细!$T$8:$T$666666&gt;设置!$F$24)*(个贷明细!$N$8:$N$666666))+SUMPRODUCT((企贷明细!$M$8:$M$666666=A52)*(企贷明细!$Q$8:$Q$666666&lt;设置!$H$23)*(企贷明细!$R$8:$R$666666&gt;设置!$F$24)*(企贷明细!$T$8:$T$666666=0)*(企贷明细!$N$8:$N$666666))+SUMPRODUCT((企贷明细!$M$8:$M$666666=A52)*(企贷明细!$Q$8:$Q$666666&lt;设置!$H$23)*(企贷明细!$R$8:$R$666666&gt;设置!$F$24)*(企贷明细!$T$8:$T$666666&gt;设置!$F$24)*(企贷明细!$N$8:$N$666666))</f>
        <v>0</v>
      </c>
      <c r="D52" s="56">
        <f t="shared" si="26"/>
        <v>0</v>
      </c>
      <c r="E52" s="56">
        <f t="shared" si="27"/>
        <v>0</v>
      </c>
      <c r="F52" s="56">
        <f>SUMPRODUCT((个贷明细!$M$8:$M$666666=A52)*(个贷明细!$AM$8:$AM$666666))+SUMPRODUCT((企贷明细!$M$8:$M$666666=A52)*(企贷明细!$AO$8:$AO$666666))</f>
        <v>0</v>
      </c>
      <c r="G52" s="56">
        <f>SUMPRODUCT((个贷明细!$M$8:$M$666666=A52)*(个贷明细!$AN$8:$AN$666666))+SUMPRODUCT((企贷明细!$M$8:$M$666666=A52)*(企贷明细!$AP$8:$AP$666666))</f>
        <v>0</v>
      </c>
      <c r="H52" s="56">
        <f>SUMPRODUCT((个贷明细!$M$8:$M$666666=A52)*(个贷明细!$AO$8:$AO$666666))+SUMPRODUCT((企贷明细!$M$8:$M$666666=A52)*(企贷明细!$AQ$8:$AQ$666666))</f>
        <v>0</v>
      </c>
      <c r="I52" s="56">
        <f t="shared" si="28"/>
        <v>0</v>
      </c>
      <c r="J52" s="56">
        <f>SUMPRODUCT((企贷明细!$M$8:$M$666666=A52)*(企贷明细!$AR$8:$AR$666666))</f>
        <v>0</v>
      </c>
      <c r="K52" s="56">
        <f>SUMPRODUCT((个贷明细!$M$8:$M$666666=A52)*(个贷明细!$AQ$8:$AQ$666666))+SUMPRODUCT((企贷明细!$M$8:$M$666666=A52)*(企贷明细!$AS$8:$AS$666666))+SUMPRODUCT((企贷明细!$M$8:$M$666666=A52)*(企贷明细!$AU$8:$AU$666666))</f>
        <v>0</v>
      </c>
      <c r="L52"/>
      <c r="M52"/>
      <c r="N52"/>
      <c r="O52"/>
      <c r="P52"/>
      <c r="Q52"/>
      <c r="R52"/>
      <c r="S52"/>
      <c r="T52"/>
      <c r="U52"/>
      <c r="V52"/>
      <c r="W52"/>
    </row>
    <row r="53" ht="14.25" spans="1:23">
      <c r="A53" s="68" t="str">
        <f>'1季统计'!A53</f>
        <v>湖北银行</v>
      </c>
      <c r="B53" s="56">
        <f>SUMPRODUCT((个贷明细!$M$8:$M$666666=A53)*(个贷明细!$Q$8:$Q$666666&gt;=设置!$F$23)*(个贷明细!$Q$8:$Q$666666&lt;=设置!$F$24)*(个贷明细!$N$8:$N$666666))+SUMPRODUCT((企贷明细!$M$8:$M$666666=A53)*(企贷明细!$Q$8:$Q$666666&gt;=设置!$F$23)*(企贷明细!$Q$8:$Q$666666&lt;=设置!$F$24)*(企贷明细!$N$8:$N$666666))</f>
        <v>0</v>
      </c>
      <c r="C53" s="56">
        <f>SUMPRODUCT((个贷明细!$M$8:$M$666666=A53)*(个贷明细!$Q$8:$Q$666666&lt;设置!$H$23)*(个贷明细!$R$8:$R$666666&gt;设置!$F$24)*(个贷明细!$T$8:$T$666666=0)*(个贷明细!$N$8:$N$666666))+SUMPRODUCT((个贷明细!$M$8:$M$666666=A53)*(个贷明细!$Q$8:$Q$666666&lt;设置!$H$23)*(个贷明细!$R$8:$R$666666&gt;设置!$F$24)*(个贷明细!$T$8:$T$666666&gt;设置!$F$24)*(个贷明细!$N$8:$N$666666))+SUMPRODUCT((企贷明细!$M$8:$M$666666=A53)*(企贷明细!$Q$8:$Q$666666&lt;设置!$H$23)*(企贷明细!$R$8:$R$666666&gt;设置!$F$24)*(企贷明细!$T$8:$T$666666=0)*(企贷明细!$N$8:$N$666666))+SUMPRODUCT((企贷明细!$M$8:$M$666666=A53)*(企贷明细!$Q$8:$Q$666666&lt;设置!$H$23)*(企贷明细!$R$8:$R$666666&gt;设置!$F$24)*(企贷明细!$T$8:$T$666666&gt;设置!$F$24)*(企贷明细!$N$8:$N$666666))</f>
        <v>0</v>
      </c>
      <c r="D53" s="56">
        <f t="shared" si="26"/>
        <v>0</v>
      </c>
      <c r="E53" s="56">
        <f t="shared" si="27"/>
        <v>0</v>
      </c>
      <c r="F53" s="56">
        <f>SUMPRODUCT((个贷明细!$M$8:$M$666666=A53)*(个贷明细!$AM$8:$AM$666666))+SUMPRODUCT((企贷明细!$M$8:$M$666666=A53)*(企贷明细!$AO$8:$AO$666666))</f>
        <v>0</v>
      </c>
      <c r="G53" s="56">
        <f>SUMPRODUCT((个贷明细!$M$8:$M$666666=A53)*(个贷明细!$AN$8:$AN$666666))+SUMPRODUCT((企贷明细!$M$8:$M$666666=A53)*(企贷明细!$AP$8:$AP$666666))</f>
        <v>0</v>
      </c>
      <c r="H53" s="56">
        <f>SUMPRODUCT((个贷明细!$M$8:$M$666666=A53)*(个贷明细!$AO$8:$AO$666666))+SUMPRODUCT((企贷明细!$M$8:$M$666666=A53)*(企贷明细!$AQ$8:$AQ$666666))</f>
        <v>0</v>
      </c>
      <c r="I53" s="56">
        <f t="shared" si="28"/>
        <v>0</v>
      </c>
      <c r="J53" s="56">
        <f>SUMPRODUCT((企贷明细!$M$8:$M$666666=A53)*(企贷明细!$AR$8:$AR$666666))</f>
        <v>0</v>
      </c>
      <c r="K53" s="56">
        <f>SUMPRODUCT((个贷明细!$M$8:$M$666666=A53)*(个贷明细!$AQ$8:$AQ$666666))+SUMPRODUCT((企贷明细!$M$8:$M$666666=A53)*(企贷明细!$AS$8:$AS$666666))+SUMPRODUCT((企贷明细!$M$8:$M$666666=A53)*(企贷明细!$AU$8:$AU$666666))</f>
        <v>0</v>
      </c>
      <c r="L53"/>
      <c r="M53"/>
      <c r="N53"/>
      <c r="O53"/>
      <c r="P53"/>
      <c r="Q53"/>
      <c r="R53"/>
      <c r="S53"/>
      <c r="T53"/>
      <c r="U53"/>
      <c r="V53"/>
      <c r="W53"/>
    </row>
    <row r="54" ht="14.25" spans="1:23">
      <c r="A54" s="68" t="str">
        <f>'1季统计'!A54</f>
        <v>汉口银行</v>
      </c>
      <c r="B54" s="56">
        <f>SUMPRODUCT((个贷明细!$M$8:$M$666666=A54)*(个贷明细!$Q$8:$Q$666666&gt;=设置!$F$23)*(个贷明细!$Q$8:$Q$666666&lt;=设置!$F$24)*(个贷明细!$N$8:$N$666666))+SUMPRODUCT((企贷明细!$M$8:$M$666666=A54)*(企贷明细!$Q$8:$Q$666666&gt;=设置!$F$23)*(企贷明细!$Q$8:$Q$666666&lt;=设置!$F$24)*(企贷明细!$N$8:$N$666666))</f>
        <v>0</v>
      </c>
      <c r="C54" s="56">
        <f>SUMPRODUCT((个贷明细!$M$8:$M$666666=A54)*(个贷明细!$Q$8:$Q$666666&lt;设置!$H$23)*(个贷明细!$R$8:$R$666666&gt;设置!$F$24)*(个贷明细!$T$8:$T$666666=0)*(个贷明细!$N$8:$N$666666))+SUMPRODUCT((个贷明细!$M$8:$M$666666=A54)*(个贷明细!$Q$8:$Q$666666&lt;设置!$H$23)*(个贷明细!$R$8:$R$666666&gt;设置!$F$24)*(个贷明细!$T$8:$T$666666&gt;设置!$F$24)*(个贷明细!$N$8:$N$666666))+SUMPRODUCT((企贷明细!$M$8:$M$666666=A54)*(企贷明细!$Q$8:$Q$666666&lt;设置!$H$23)*(企贷明细!$R$8:$R$666666&gt;设置!$F$24)*(企贷明细!$T$8:$T$666666=0)*(企贷明细!$N$8:$N$666666))+SUMPRODUCT((企贷明细!$M$8:$M$666666=A54)*(企贷明细!$Q$8:$Q$666666&lt;设置!$H$23)*(企贷明细!$R$8:$R$666666&gt;设置!$F$24)*(企贷明细!$T$8:$T$666666&gt;设置!$F$24)*(企贷明细!$N$8:$N$666666))</f>
        <v>0</v>
      </c>
      <c r="D54" s="56">
        <f t="shared" si="26"/>
        <v>0</v>
      </c>
      <c r="E54" s="56">
        <f t="shared" si="27"/>
        <v>0</v>
      </c>
      <c r="F54" s="56">
        <f>SUMPRODUCT((个贷明细!$M$8:$M$666666=A54)*(个贷明细!$AM$8:$AM$666666))+SUMPRODUCT((企贷明细!$M$8:$M$666666=A54)*(企贷明细!$AO$8:$AO$666666))</f>
        <v>0</v>
      </c>
      <c r="G54" s="56">
        <f>SUMPRODUCT((个贷明细!$M$8:$M$666666=A54)*(个贷明细!$AN$8:$AN$666666))+SUMPRODUCT((企贷明细!$M$8:$M$666666=A54)*(企贷明细!$AP$8:$AP$666666))</f>
        <v>0</v>
      </c>
      <c r="H54" s="56">
        <f>SUMPRODUCT((个贷明细!$M$8:$M$666666=A54)*(个贷明细!$AO$8:$AO$666666))+SUMPRODUCT((企贷明细!$M$8:$M$666666=A54)*(企贷明细!$AQ$8:$AQ$666666))</f>
        <v>0</v>
      </c>
      <c r="I54" s="56">
        <f t="shared" si="28"/>
        <v>0</v>
      </c>
      <c r="J54" s="56">
        <f>SUMPRODUCT((企贷明细!$M$8:$M$666666=A54)*(企贷明细!$AR$8:$AR$666666))</f>
        <v>0</v>
      </c>
      <c r="K54" s="56">
        <f>SUMPRODUCT((个贷明细!$M$8:$M$666666=A54)*(个贷明细!$AQ$8:$AQ$666666))+SUMPRODUCT((企贷明细!$M$8:$M$666666=A54)*(企贷明细!$AS$8:$AS$666666))+SUMPRODUCT((企贷明细!$M$8:$M$666666=A54)*(企贷明细!$AU$8:$AU$666666))</f>
        <v>0</v>
      </c>
      <c r="L54"/>
      <c r="M54"/>
      <c r="N54"/>
      <c r="O54"/>
      <c r="P54"/>
      <c r="Q54"/>
      <c r="R54"/>
      <c r="S54"/>
      <c r="T54"/>
      <c r="U54"/>
      <c r="V54"/>
      <c r="W54"/>
    </row>
    <row r="55" ht="14.25" spans="1:23">
      <c r="A55" s="68" t="str">
        <f>'1季统计'!A55</f>
        <v>其他城商行</v>
      </c>
      <c r="B55" s="56">
        <f>SUMPRODUCT((个贷明细!$M$8:$M$666666=A55)*(个贷明细!$Q$8:$Q$666666&gt;=设置!$F$23)*(个贷明细!$Q$8:$Q$666666&lt;=设置!$F$24)*(个贷明细!$N$8:$N$666666))+SUMPRODUCT((企贷明细!$M$8:$M$666666=A55)*(企贷明细!$Q$8:$Q$666666&gt;=设置!$F$23)*(企贷明细!$Q$8:$Q$666666&lt;=设置!$F$24)*(企贷明细!$N$8:$N$666666))</f>
        <v>0</v>
      </c>
      <c r="C55" s="56">
        <f>SUMPRODUCT((个贷明细!$M$8:$M$666666=A55)*(个贷明细!$Q$8:$Q$666666&lt;设置!$H$23)*(个贷明细!$R$8:$R$666666&gt;设置!$F$24)*(个贷明细!$T$8:$T$666666=0)*(个贷明细!$N$8:$N$666666))+SUMPRODUCT((个贷明细!$M$8:$M$666666=A55)*(个贷明细!$Q$8:$Q$666666&lt;设置!$H$23)*(个贷明细!$R$8:$R$666666&gt;设置!$F$24)*(个贷明细!$T$8:$T$666666&gt;设置!$F$24)*(个贷明细!$N$8:$N$666666))+SUMPRODUCT((企贷明细!$M$8:$M$666666=A55)*(企贷明细!$Q$8:$Q$666666&lt;设置!$H$23)*(企贷明细!$R$8:$R$666666&gt;设置!$F$24)*(企贷明细!$T$8:$T$666666=0)*(企贷明细!$N$8:$N$666666))+SUMPRODUCT((企贷明细!$M$8:$M$666666=A55)*(企贷明细!$Q$8:$Q$666666&lt;设置!$H$23)*(企贷明细!$R$8:$R$666666&gt;设置!$F$24)*(企贷明细!$T$8:$T$666666&gt;设置!$F$24)*(企贷明细!$N$8:$N$666666))</f>
        <v>0</v>
      </c>
      <c r="D55" s="56">
        <f t="shared" si="26"/>
        <v>0</v>
      </c>
      <c r="E55" s="56">
        <f t="shared" si="27"/>
        <v>0</v>
      </c>
      <c r="F55" s="56">
        <f>SUMPRODUCT((个贷明细!$M$8:$M$666666=A55)*(个贷明细!$AM$8:$AM$666666))+SUMPRODUCT((企贷明细!$M$8:$M$666666=A55)*(企贷明细!$AO$8:$AO$666666))</f>
        <v>0</v>
      </c>
      <c r="G55" s="56">
        <f>SUMPRODUCT((个贷明细!$M$8:$M$666666=A55)*(个贷明细!$AN$8:$AN$666666))+SUMPRODUCT((企贷明细!$M$8:$M$666666=A55)*(企贷明细!$AP$8:$AP$666666))</f>
        <v>0</v>
      </c>
      <c r="H55" s="56">
        <f>SUMPRODUCT((个贷明细!$M$8:$M$666666=A55)*(个贷明细!$AO$8:$AO$666666))+SUMPRODUCT((企贷明细!$M$8:$M$666666=A55)*(企贷明细!$AQ$8:$AQ$666666))</f>
        <v>0</v>
      </c>
      <c r="I55" s="56">
        <f t="shared" si="28"/>
        <v>0</v>
      </c>
      <c r="J55" s="56">
        <f>SUMPRODUCT((企贷明细!$M$8:$M$666666=A55)*(企贷明细!$AR$8:$AR$666666))</f>
        <v>0</v>
      </c>
      <c r="K55" s="56">
        <f>SUMPRODUCT((个贷明细!$M$8:$M$666666=A55)*(个贷明细!$AQ$8:$AQ$666666))+SUMPRODUCT((企贷明细!$M$8:$M$666666=A55)*(企贷明细!$AS$8:$AS$666666))+SUMPRODUCT((企贷明细!$M$8:$M$666666=A55)*(企贷明细!$AU$8:$AU$666666))</f>
        <v>0</v>
      </c>
      <c r="L55"/>
      <c r="M55"/>
      <c r="N55"/>
      <c r="O55"/>
      <c r="P55"/>
      <c r="Q55"/>
      <c r="R55"/>
      <c r="S55"/>
      <c r="T55"/>
      <c r="U55"/>
      <c r="V55"/>
      <c r="W55"/>
    </row>
    <row r="56" ht="14.25" spans="1:23">
      <c r="A56" s="68" t="str">
        <f>'1季统计'!A56</f>
        <v>其他城商行2</v>
      </c>
      <c r="B56" s="56">
        <f>SUMPRODUCT((个贷明细!$M$8:$M$666666=A56)*(个贷明细!$Q$8:$Q$666666&gt;=设置!$F$23)*(个贷明细!$Q$8:$Q$666666&lt;=设置!$F$24)*(个贷明细!$N$8:$N$666666))+SUMPRODUCT((企贷明细!$M$8:$M$666666=A56)*(企贷明细!$Q$8:$Q$666666&gt;=设置!$F$23)*(企贷明细!$Q$8:$Q$666666&lt;=设置!$F$24)*(企贷明细!$N$8:$N$666666))</f>
        <v>0</v>
      </c>
      <c r="C56" s="56">
        <f>SUMPRODUCT((个贷明细!$M$8:$M$666666=A56)*(个贷明细!$Q$8:$Q$666666&lt;设置!$H$23)*(个贷明细!$R$8:$R$666666&gt;设置!$F$24)*(个贷明细!$T$8:$T$666666=0)*(个贷明细!$N$8:$N$666666))+SUMPRODUCT((个贷明细!$M$8:$M$666666=A56)*(个贷明细!$Q$8:$Q$666666&lt;设置!$H$23)*(个贷明细!$R$8:$R$666666&gt;设置!$F$24)*(个贷明细!$T$8:$T$666666&gt;设置!$F$24)*(个贷明细!$N$8:$N$666666))+SUMPRODUCT((企贷明细!$M$8:$M$666666=A56)*(企贷明细!$Q$8:$Q$666666&lt;设置!$H$23)*(企贷明细!$R$8:$R$666666&gt;设置!$F$24)*(企贷明细!$T$8:$T$666666=0)*(企贷明细!$N$8:$N$666666))+SUMPRODUCT((企贷明细!$M$8:$M$666666=A56)*(企贷明细!$Q$8:$Q$666666&lt;设置!$H$23)*(企贷明细!$R$8:$R$666666&gt;设置!$F$24)*(企贷明细!$T$8:$T$666666&gt;设置!$F$24)*(企贷明细!$N$8:$N$666666))</f>
        <v>0</v>
      </c>
      <c r="D56" s="56">
        <f t="shared" si="26"/>
        <v>0</v>
      </c>
      <c r="E56" s="56">
        <f t="shared" si="27"/>
        <v>0</v>
      </c>
      <c r="F56" s="56">
        <f>SUMPRODUCT((个贷明细!$M$8:$M$666666=A56)*(个贷明细!$AM$8:$AM$666666))+SUMPRODUCT((企贷明细!$M$8:$M$666666=A56)*(企贷明细!$AO$8:$AO$666666))</f>
        <v>0</v>
      </c>
      <c r="G56" s="56">
        <f>SUMPRODUCT((个贷明细!$M$8:$M$666666=A56)*(个贷明细!$AN$8:$AN$666666))+SUMPRODUCT((企贷明细!$M$8:$M$666666=A56)*(企贷明细!$AP$8:$AP$666666))</f>
        <v>0</v>
      </c>
      <c r="H56" s="56">
        <f>SUMPRODUCT((个贷明细!$M$8:$M$666666=A56)*(个贷明细!$AO$8:$AO$666666))+SUMPRODUCT((企贷明细!$M$8:$M$666666=A56)*(企贷明细!$AQ$8:$AQ$666666))</f>
        <v>0</v>
      </c>
      <c r="I56" s="56">
        <f t="shared" si="28"/>
        <v>0</v>
      </c>
      <c r="J56" s="56">
        <f>SUMPRODUCT((企贷明细!$M$8:$M$666666=A56)*(企贷明细!$AR$8:$AR$666666))</f>
        <v>0</v>
      </c>
      <c r="K56" s="56">
        <f>SUMPRODUCT((个贷明细!$M$8:$M$666666=A56)*(个贷明细!$AQ$8:$AQ$666666))+SUMPRODUCT((企贷明细!$M$8:$M$666666=A56)*(企贷明细!$AS$8:$AS$666666))+SUMPRODUCT((企贷明细!$M$8:$M$666666=A56)*(企贷明细!$AU$8:$AU$666666))</f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ht="14.25" spans="1:23">
      <c r="A57" s="68" t="str">
        <f>'1季统计'!A57</f>
        <v>其他城商行3</v>
      </c>
      <c r="B57" s="56">
        <f>SUMPRODUCT((个贷明细!$M$8:$M$666666=A57)*(个贷明细!$Q$8:$Q$666666&gt;=设置!$F$23)*(个贷明细!$Q$8:$Q$666666&lt;=设置!$F$24)*(个贷明细!$N$8:$N$666666))+SUMPRODUCT((企贷明细!$M$8:$M$666666=A57)*(企贷明细!$Q$8:$Q$666666&gt;=设置!$F$23)*(企贷明细!$Q$8:$Q$666666&lt;=设置!$F$24)*(企贷明细!$N$8:$N$666666))</f>
        <v>0</v>
      </c>
      <c r="C57" s="56">
        <f>SUMPRODUCT((个贷明细!$M$8:$M$666666=A57)*(个贷明细!$Q$8:$Q$666666&lt;设置!$H$23)*(个贷明细!$R$8:$R$666666&gt;设置!$F$24)*(个贷明细!$T$8:$T$666666=0)*(个贷明细!$N$8:$N$666666))+SUMPRODUCT((个贷明细!$M$8:$M$666666=A57)*(个贷明细!$Q$8:$Q$666666&lt;设置!$H$23)*(个贷明细!$R$8:$R$666666&gt;设置!$F$24)*(个贷明细!$T$8:$T$666666&gt;设置!$F$24)*(个贷明细!$N$8:$N$666666))+SUMPRODUCT((企贷明细!$M$8:$M$666666=A57)*(企贷明细!$Q$8:$Q$666666&lt;设置!$H$23)*(企贷明细!$R$8:$R$666666&gt;设置!$F$24)*(企贷明细!$T$8:$T$666666=0)*(企贷明细!$N$8:$N$666666))+SUMPRODUCT((企贷明细!$M$8:$M$666666=A57)*(企贷明细!$Q$8:$Q$666666&lt;设置!$H$23)*(企贷明细!$R$8:$R$666666&gt;设置!$F$24)*(企贷明细!$T$8:$T$666666&gt;设置!$F$24)*(企贷明细!$N$8:$N$666666))</f>
        <v>0</v>
      </c>
      <c r="D57" s="56">
        <f t="shared" si="26"/>
        <v>0</v>
      </c>
      <c r="E57" s="56">
        <f t="shared" si="27"/>
        <v>0</v>
      </c>
      <c r="F57" s="56">
        <f>SUMPRODUCT((个贷明细!$M$8:$M$666666=A57)*(个贷明细!$AM$8:$AM$666666))+SUMPRODUCT((企贷明细!$M$8:$M$666666=A57)*(企贷明细!$AO$8:$AO$666666))</f>
        <v>0</v>
      </c>
      <c r="G57" s="56">
        <f>SUMPRODUCT((个贷明细!$M$8:$M$666666=A57)*(个贷明细!$AN$8:$AN$666666))+SUMPRODUCT((企贷明细!$M$8:$M$666666=A57)*(企贷明细!$AP$8:$AP$666666))</f>
        <v>0</v>
      </c>
      <c r="H57" s="56">
        <f>SUMPRODUCT((个贷明细!$M$8:$M$666666=A57)*(个贷明细!$AO$8:$AO$666666))+SUMPRODUCT((企贷明细!$M$8:$M$666666=A57)*(企贷明细!$AQ$8:$AQ$666666))</f>
        <v>0</v>
      </c>
      <c r="I57" s="56">
        <f t="shared" si="28"/>
        <v>0</v>
      </c>
      <c r="J57" s="56">
        <f>SUMPRODUCT((企贷明细!$M$8:$M$666666=A57)*(企贷明细!$AR$8:$AR$666666))</f>
        <v>0</v>
      </c>
      <c r="K57" s="56">
        <f>SUMPRODUCT((个贷明细!$M$8:$M$666666=A57)*(个贷明细!$AQ$8:$AQ$666666))+SUMPRODUCT((企贷明细!$M$8:$M$666666=A57)*(企贷明细!$AS$8:$AS$666666))+SUMPRODUCT((企贷明细!$M$8:$M$666666=A57)*(企贷明细!$AU$8:$AU$666666))</f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ht="14.25" spans="1:23">
      <c r="A58" s="68" t="str">
        <f>'1季统计'!A58</f>
        <v>农商行</v>
      </c>
      <c r="B58" s="56">
        <f>SUMPRODUCT((个贷明细!$M$8:$M$666666=A58)*(个贷明细!$Q$8:$Q$666666&gt;=设置!$F$23)*(个贷明细!$Q$8:$Q$666666&lt;=设置!$F$24)*(个贷明细!$N$8:$N$666666))+SUMPRODUCT((企贷明细!$M$8:$M$666666=A58)*(企贷明细!$Q$8:$Q$666666&gt;=设置!$F$23)*(企贷明细!$Q$8:$Q$666666&lt;=设置!$F$24)*(企贷明细!$N$8:$N$666666))</f>
        <v>0</v>
      </c>
      <c r="C58" s="56">
        <f>SUMPRODUCT((个贷明细!$M$8:$M$666666=A58)*(个贷明细!$Q$8:$Q$666666&lt;设置!$H$23)*(个贷明细!$R$8:$R$666666&gt;设置!$F$24)*(个贷明细!$T$8:$T$666666=0)*(个贷明细!$N$8:$N$666666))+SUMPRODUCT((个贷明细!$M$8:$M$666666=A58)*(个贷明细!$Q$8:$Q$666666&lt;设置!$H$23)*(个贷明细!$R$8:$R$666666&gt;设置!$F$24)*(个贷明细!$T$8:$T$666666&gt;设置!$F$24)*(个贷明细!$N$8:$N$666666))+SUMPRODUCT((企贷明细!$M$8:$M$666666=A58)*(企贷明细!$Q$8:$Q$666666&lt;设置!$H$23)*(企贷明细!$R$8:$R$666666&gt;设置!$F$24)*(企贷明细!$T$8:$T$666666=0)*(企贷明细!$N$8:$N$666666))+SUMPRODUCT((企贷明细!$M$8:$M$666666=A58)*(企贷明细!$Q$8:$Q$666666&lt;设置!$H$23)*(企贷明细!$R$8:$R$666666&gt;设置!$F$24)*(企贷明细!$T$8:$T$666666&gt;设置!$F$24)*(企贷明细!$N$8:$N$666666))</f>
        <v>0</v>
      </c>
      <c r="D58" s="56">
        <f t="shared" si="26"/>
        <v>0</v>
      </c>
      <c r="E58" s="56">
        <f t="shared" si="27"/>
        <v>0</v>
      </c>
      <c r="F58" s="56">
        <f>SUMPRODUCT((个贷明细!$M$8:$M$666666=A58)*(个贷明细!$AM$8:$AM$666666))+SUMPRODUCT((企贷明细!$M$8:$M$666666=A58)*(企贷明细!$AO$8:$AO$666666))</f>
        <v>0</v>
      </c>
      <c r="G58" s="56">
        <f>SUMPRODUCT((个贷明细!$M$8:$M$666666=A58)*(个贷明细!$AN$8:$AN$666666))+SUMPRODUCT((企贷明细!$M$8:$M$666666=A58)*(企贷明细!$AP$8:$AP$666666))</f>
        <v>0</v>
      </c>
      <c r="H58" s="56">
        <f>SUMPRODUCT((个贷明细!$M$8:$M$666666=A58)*(个贷明细!$AO$8:$AO$666666))+SUMPRODUCT((企贷明细!$M$8:$M$666666=A58)*(企贷明细!$AQ$8:$AQ$666666))</f>
        <v>0</v>
      </c>
      <c r="I58" s="56">
        <f t="shared" si="28"/>
        <v>0</v>
      </c>
      <c r="J58" s="56">
        <f>SUMPRODUCT((企贷明细!$M$8:$M$666666=A58)*(企贷明细!$AR$8:$AR$666666))</f>
        <v>0</v>
      </c>
      <c r="K58" s="56">
        <f>SUMPRODUCT((个贷明细!$M$8:$M$666666=A58)*(个贷明细!$AQ$8:$AQ$666666))+SUMPRODUCT((企贷明细!$M$8:$M$666666=A58)*(企贷明细!$AS$8:$AS$666666))+SUMPRODUCT((企贷明细!$M$8:$M$666666=A58)*(企贷明细!$AU$8:$AU$666666))</f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ht="14.25" spans="1:23">
      <c r="A59" s="68" t="str">
        <f>'1季统计'!A59</f>
        <v>国开行</v>
      </c>
      <c r="B59" s="56">
        <f>SUMPRODUCT((个贷明细!$M$8:$M$666666=A59)*(个贷明细!$Q$8:$Q$666666&gt;=设置!$F$23)*(个贷明细!$Q$8:$Q$666666&lt;=设置!$F$24)*(个贷明细!$N$8:$N$666666))+SUMPRODUCT((企贷明细!$M$8:$M$666666=A59)*(企贷明细!$Q$8:$Q$666666&gt;=设置!$F$23)*(企贷明细!$Q$8:$Q$666666&lt;=设置!$F$24)*(企贷明细!$N$8:$N$666666))</f>
        <v>0</v>
      </c>
      <c r="C59" s="56">
        <f>SUMPRODUCT((个贷明细!$M$8:$M$666666=A59)*(个贷明细!$Q$8:$Q$666666&lt;设置!$H$23)*(个贷明细!$R$8:$R$666666&gt;设置!$F$24)*(个贷明细!$T$8:$T$666666=0)*(个贷明细!$N$8:$N$666666))+SUMPRODUCT((个贷明细!$M$8:$M$666666=A59)*(个贷明细!$Q$8:$Q$666666&lt;设置!$H$23)*(个贷明细!$R$8:$R$666666&gt;设置!$F$24)*(个贷明细!$T$8:$T$666666&gt;设置!$F$24)*(个贷明细!$N$8:$N$666666))+SUMPRODUCT((企贷明细!$M$8:$M$666666=A59)*(企贷明细!$Q$8:$Q$666666&lt;设置!$H$23)*(企贷明细!$R$8:$R$666666&gt;设置!$F$24)*(企贷明细!$T$8:$T$666666=0)*(企贷明细!$N$8:$N$666666))+SUMPRODUCT((企贷明细!$M$8:$M$666666=A59)*(企贷明细!$Q$8:$Q$666666&lt;设置!$H$23)*(企贷明细!$R$8:$R$666666&gt;设置!$F$24)*(企贷明细!$T$8:$T$666666&gt;设置!$F$24)*(企贷明细!$N$8:$N$666666))</f>
        <v>0</v>
      </c>
      <c r="D59" s="56">
        <f t="shared" si="26"/>
        <v>0</v>
      </c>
      <c r="E59" s="56">
        <f t="shared" si="27"/>
        <v>0</v>
      </c>
      <c r="F59" s="56">
        <f>SUMPRODUCT((个贷明细!$M$8:$M$666666=A59)*(个贷明细!$AM$8:$AM$666666))+SUMPRODUCT((企贷明细!$M$8:$M$666666=A59)*(企贷明细!$AO$8:$AO$666666))</f>
        <v>0</v>
      </c>
      <c r="G59" s="56">
        <f>SUMPRODUCT((个贷明细!$M$8:$M$666666=A59)*(个贷明细!$AN$8:$AN$666666))+SUMPRODUCT((企贷明细!$M$8:$M$666666=A59)*(企贷明细!$AP$8:$AP$666666))</f>
        <v>0</v>
      </c>
      <c r="H59" s="56">
        <f>SUMPRODUCT((个贷明细!$M$8:$M$666666=A59)*(个贷明细!$AO$8:$AO$666666))+SUMPRODUCT((企贷明细!$M$8:$M$666666=A59)*(企贷明细!$AQ$8:$AQ$666666))</f>
        <v>0</v>
      </c>
      <c r="I59" s="56">
        <f t="shared" si="28"/>
        <v>0</v>
      </c>
      <c r="J59" s="56">
        <f>SUMPRODUCT((企贷明细!$M$8:$M$666666=A59)*(企贷明细!$AR$8:$AR$666666))</f>
        <v>0</v>
      </c>
      <c r="K59" s="56">
        <f>SUMPRODUCT((个贷明细!$M$8:$M$666666=A59)*(个贷明细!$AQ$8:$AQ$666666))+SUMPRODUCT((企贷明细!$M$8:$M$666666=A59)*(企贷明细!$AS$8:$AS$666666))+SUMPRODUCT((企贷明细!$M$8:$M$666666=A59)*(企贷明细!$AU$8:$AU$666666))</f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ht="14.25" spans="1:23">
      <c r="A60" s="68" t="str">
        <f>'1季统计'!A60</f>
        <v>进出口行</v>
      </c>
      <c r="B60" s="56">
        <f>SUMPRODUCT((个贷明细!$M$8:$M$666666=A60)*(个贷明细!$Q$8:$Q$666666&gt;=设置!$F$23)*(个贷明细!$Q$8:$Q$666666&lt;=设置!$F$24)*(个贷明细!$N$8:$N$666666))+SUMPRODUCT((企贷明细!$M$8:$M$666666=A60)*(企贷明细!$Q$8:$Q$666666&gt;=设置!$F$23)*(企贷明细!$Q$8:$Q$666666&lt;=设置!$F$24)*(企贷明细!$N$8:$N$666666))</f>
        <v>0</v>
      </c>
      <c r="C60" s="56">
        <f>SUMPRODUCT((个贷明细!$M$8:$M$666666=A60)*(个贷明细!$Q$8:$Q$666666&lt;设置!$H$23)*(个贷明细!$R$8:$R$666666&gt;设置!$F$24)*(个贷明细!$T$8:$T$666666=0)*(个贷明细!$N$8:$N$666666))+SUMPRODUCT((个贷明细!$M$8:$M$666666=A60)*(个贷明细!$Q$8:$Q$666666&lt;设置!$H$23)*(个贷明细!$R$8:$R$666666&gt;设置!$F$24)*(个贷明细!$T$8:$T$666666&gt;设置!$F$24)*(个贷明细!$N$8:$N$666666))+SUMPRODUCT((企贷明细!$M$8:$M$666666=A60)*(企贷明细!$Q$8:$Q$666666&lt;设置!$H$23)*(企贷明细!$R$8:$R$666666&gt;设置!$F$24)*(企贷明细!$T$8:$T$666666=0)*(企贷明细!$N$8:$N$666666))+SUMPRODUCT((企贷明细!$M$8:$M$666666=A60)*(企贷明细!$Q$8:$Q$666666&lt;设置!$H$23)*(企贷明细!$R$8:$R$666666&gt;设置!$F$24)*(企贷明细!$T$8:$T$666666&gt;设置!$F$24)*(企贷明细!$N$8:$N$666666))</f>
        <v>0</v>
      </c>
      <c r="D60" s="56">
        <f t="shared" si="26"/>
        <v>0</v>
      </c>
      <c r="E60" s="56">
        <f t="shared" si="27"/>
        <v>0</v>
      </c>
      <c r="F60" s="56">
        <f>SUMPRODUCT((个贷明细!$M$8:$M$666666=A60)*(个贷明细!$AM$8:$AM$666666))+SUMPRODUCT((企贷明细!$M$8:$M$666666=A60)*(企贷明细!$AO$8:$AO$666666))</f>
        <v>0</v>
      </c>
      <c r="G60" s="56">
        <f>SUMPRODUCT((个贷明细!$M$8:$M$666666=A60)*(个贷明细!$AN$8:$AN$666666))+SUMPRODUCT((企贷明细!$M$8:$M$666666=A60)*(企贷明细!$AP$8:$AP$666666))</f>
        <v>0</v>
      </c>
      <c r="H60" s="56">
        <f>SUMPRODUCT((个贷明细!$M$8:$M$666666=A60)*(个贷明细!$AO$8:$AO$666666))+SUMPRODUCT((企贷明细!$M$8:$M$666666=A60)*(企贷明细!$AQ$8:$AQ$666666))</f>
        <v>0</v>
      </c>
      <c r="I60" s="56">
        <f t="shared" si="28"/>
        <v>0</v>
      </c>
      <c r="J60" s="56">
        <f>SUMPRODUCT((企贷明细!$M$8:$M$666666=A60)*(企贷明细!$AR$8:$AR$666666))</f>
        <v>0</v>
      </c>
      <c r="K60" s="56">
        <f>SUMPRODUCT((个贷明细!$M$8:$M$666666=A60)*(个贷明细!$AQ$8:$AQ$666666))+SUMPRODUCT((企贷明细!$M$8:$M$666666=A60)*(企贷明细!$AS$8:$AS$666666))+SUMPRODUCT((企贷明细!$M$8:$M$666666=A60)*(企贷明细!$AU$8:$AU$666666))</f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ht="14.25" spans="1:23">
      <c r="A61" s="68" t="str">
        <f>'1季统计'!A61</f>
        <v>农发行</v>
      </c>
      <c r="B61" s="56">
        <f>SUMPRODUCT((个贷明细!$M$8:$M$666666=A61)*(个贷明细!$Q$8:$Q$666666&gt;=设置!$F$23)*(个贷明细!$Q$8:$Q$666666&lt;=设置!$F$24)*(个贷明细!$N$8:$N$666666))+SUMPRODUCT((企贷明细!$M$8:$M$666666=A61)*(企贷明细!$Q$8:$Q$666666&gt;=设置!$F$23)*(企贷明细!$Q$8:$Q$666666&lt;=设置!$F$24)*(企贷明细!$N$8:$N$666666))</f>
        <v>0</v>
      </c>
      <c r="C61" s="56">
        <f>SUMPRODUCT((个贷明细!$M$8:$M$666666=A61)*(个贷明细!$Q$8:$Q$666666&lt;设置!$H$23)*(个贷明细!$R$8:$R$666666&gt;设置!$F$24)*(个贷明细!$T$8:$T$666666=0)*(个贷明细!$N$8:$N$666666))+SUMPRODUCT((个贷明细!$M$8:$M$666666=A61)*(个贷明细!$Q$8:$Q$666666&lt;设置!$H$23)*(个贷明细!$R$8:$R$666666&gt;设置!$F$24)*(个贷明细!$T$8:$T$666666&gt;设置!$F$24)*(个贷明细!$N$8:$N$666666))+SUMPRODUCT((企贷明细!$M$8:$M$666666=A61)*(企贷明细!$Q$8:$Q$666666&lt;设置!$H$23)*(企贷明细!$R$8:$R$666666&gt;设置!$F$24)*(企贷明细!$T$8:$T$666666=0)*(企贷明细!$N$8:$N$666666))+SUMPRODUCT((企贷明细!$M$8:$M$666666=A61)*(企贷明细!$Q$8:$Q$666666&lt;设置!$H$23)*(企贷明细!$R$8:$R$666666&gt;设置!$F$24)*(企贷明细!$T$8:$T$666666&gt;设置!$F$24)*(企贷明细!$N$8:$N$666666))</f>
        <v>0</v>
      </c>
      <c r="D61" s="56">
        <f t="shared" si="26"/>
        <v>0</v>
      </c>
      <c r="E61" s="56">
        <f t="shared" si="27"/>
        <v>0</v>
      </c>
      <c r="F61" s="56">
        <f>SUMPRODUCT((个贷明细!$M$8:$M$666666=A61)*(个贷明细!$AM$8:$AM$666666))+SUMPRODUCT((企贷明细!$M$8:$M$666666=A61)*(企贷明细!$AO$8:$AO$666666))</f>
        <v>0</v>
      </c>
      <c r="G61" s="56">
        <f>SUMPRODUCT((个贷明细!$M$8:$M$666666=A61)*(个贷明细!$AN$8:$AN$666666))+SUMPRODUCT((企贷明细!$M$8:$M$666666=A61)*(企贷明细!$AP$8:$AP$666666))</f>
        <v>0</v>
      </c>
      <c r="H61" s="56">
        <f>SUMPRODUCT((个贷明细!$M$8:$M$666666=A61)*(个贷明细!$AO$8:$AO$666666))+SUMPRODUCT((企贷明细!$M$8:$M$666666=A61)*(企贷明细!$AQ$8:$AQ$666666))</f>
        <v>0</v>
      </c>
      <c r="I61" s="56">
        <f t="shared" si="28"/>
        <v>0</v>
      </c>
      <c r="J61" s="56">
        <f>SUMPRODUCT((企贷明细!$M$8:$M$666666=A61)*(企贷明细!$AR$8:$AR$666666))</f>
        <v>0</v>
      </c>
      <c r="K61" s="56">
        <f>SUMPRODUCT((个贷明细!$M$8:$M$666666=A61)*(个贷明细!$AQ$8:$AQ$666666))+SUMPRODUCT((企贷明细!$M$8:$M$666666=A61)*(企贷明细!$AS$8:$AS$666666))+SUMPRODUCT((企贷明细!$M$8:$M$666666=A61)*(企贷明细!$AU$8:$AU$666666))</f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ht="14.25" spans="1:23">
      <c r="A62" s="68" t="str">
        <f>'1季统计'!A62</f>
        <v>其他银行</v>
      </c>
      <c r="B62" s="56">
        <f>SUMPRODUCT((个贷明细!$M$8:$M$666666=A62)*(个贷明细!$Q$8:$Q$666666&gt;=设置!$F$23)*(个贷明细!$Q$8:$Q$666666&lt;=设置!$F$24)*(个贷明细!$N$8:$N$666666))+SUMPRODUCT((企贷明细!$M$8:$M$666666=A62)*(企贷明细!$Q$8:$Q$666666&gt;=设置!$F$23)*(企贷明细!$Q$8:$Q$666666&lt;=设置!$F$24)*(企贷明细!$N$8:$N$666666))</f>
        <v>0</v>
      </c>
      <c r="C62" s="56">
        <f>SUMPRODUCT((个贷明细!$M$8:$M$666666=A62)*(个贷明细!$Q$8:$Q$666666&lt;设置!$H$23)*(个贷明细!$R$8:$R$666666&gt;设置!$F$24)*(个贷明细!$T$8:$T$666666=0)*(个贷明细!$N$8:$N$666666))+SUMPRODUCT((个贷明细!$M$8:$M$666666=A62)*(个贷明细!$Q$8:$Q$666666&lt;设置!$H$23)*(个贷明细!$R$8:$R$666666&gt;设置!$F$24)*(个贷明细!$T$8:$T$666666&gt;设置!$F$24)*(个贷明细!$N$8:$N$666666))+SUMPRODUCT((企贷明细!$M$8:$M$666666=A62)*(企贷明细!$Q$8:$Q$666666&lt;设置!$H$23)*(企贷明细!$R$8:$R$666666&gt;设置!$F$24)*(企贷明细!$T$8:$T$666666=0)*(企贷明细!$N$8:$N$666666))+SUMPRODUCT((企贷明细!$M$8:$M$666666=A62)*(企贷明细!$Q$8:$Q$666666&lt;设置!$H$23)*(企贷明细!$R$8:$R$666666&gt;设置!$F$24)*(企贷明细!$T$8:$T$666666&gt;设置!$F$24)*(企贷明细!$N$8:$N$666666))</f>
        <v>0</v>
      </c>
      <c r="D62" s="56">
        <f t="shared" si="26"/>
        <v>0</v>
      </c>
      <c r="E62" s="56">
        <f t="shared" si="27"/>
        <v>0</v>
      </c>
      <c r="F62" s="56">
        <f>SUMPRODUCT((个贷明细!$M$8:$M$666666=A62)*(个贷明细!$AM$8:$AM$666666))+SUMPRODUCT((企贷明细!$M$8:$M$666666=A62)*(企贷明细!$AO$8:$AO$666666))</f>
        <v>0</v>
      </c>
      <c r="G62" s="56">
        <f>SUMPRODUCT((个贷明细!$M$8:$M$666666=A62)*(个贷明细!$AN$8:$AN$666666))+SUMPRODUCT((企贷明细!$M$8:$M$666666=A62)*(企贷明细!$AP$8:$AP$666666))</f>
        <v>0</v>
      </c>
      <c r="H62" s="56">
        <f>SUMPRODUCT((个贷明细!$M$8:$M$666666=A62)*(个贷明细!$AO$8:$AO$666666))+SUMPRODUCT((企贷明细!$M$8:$M$666666=A62)*(企贷明细!$AQ$8:$AQ$666666))</f>
        <v>0</v>
      </c>
      <c r="I62" s="56">
        <f t="shared" si="28"/>
        <v>0</v>
      </c>
      <c r="J62" s="56">
        <f>SUMPRODUCT((企贷明细!$M$8:$M$666666=A62)*(企贷明细!$AR$8:$AR$666666))</f>
        <v>0</v>
      </c>
      <c r="K62" s="56">
        <f>SUMPRODUCT((个贷明细!$M$8:$M$666666=A62)*(个贷明细!$AQ$8:$AQ$666666))+SUMPRODUCT((企贷明细!$M$8:$M$666666=A62)*(企贷明细!$AS$8:$AS$666666))+SUMPRODUCT((企贷明细!$M$8:$M$666666=A62)*(企贷明细!$AU$8:$AU$666666))</f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ht="14.25" spans="1:23">
      <c r="A63" s="68" t="str">
        <f>'1季统计'!A63</f>
        <v>其他银行2</v>
      </c>
      <c r="B63" s="56">
        <f>SUMPRODUCT((个贷明细!$M$8:$M$666666=A63)*(个贷明细!$Q$8:$Q$666666&gt;=设置!$F$23)*(个贷明细!$Q$8:$Q$666666&lt;=设置!$F$24)*(个贷明细!$N$8:$N$666666))+SUMPRODUCT((企贷明细!$M$8:$M$666666=A63)*(企贷明细!$Q$8:$Q$666666&gt;=设置!$F$23)*(企贷明细!$Q$8:$Q$666666&lt;=设置!$F$24)*(企贷明细!$N$8:$N$666666))</f>
        <v>0</v>
      </c>
      <c r="C63" s="56">
        <f>SUMPRODUCT((个贷明细!$M$8:$M$666666=A63)*(个贷明细!$Q$8:$Q$666666&lt;设置!$H$23)*(个贷明细!$R$8:$R$666666&gt;设置!$F$24)*(个贷明细!$T$8:$T$666666=0)*(个贷明细!$N$8:$N$666666))+SUMPRODUCT((个贷明细!$M$8:$M$666666=A63)*(个贷明细!$Q$8:$Q$666666&lt;设置!$H$23)*(个贷明细!$R$8:$R$666666&gt;设置!$F$24)*(个贷明细!$T$8:$T$666666&gt;设置!$F$24)*(个贷明细!$N$8:$N$666666))+SUMPRODUCT((企贷明细!$M$8:$M$666666=A63)*(企贷明细!$Q$8:$Q$666666&lt;设置!$H$23)*(企贷明细!$R$8:$R$666666&gt;设置!$F$24)*(企贷明细!$T$8:$T$666666=0)*(企贷明细!$N$8:$N$666666))+SUMPRODUCT((企贷明细!$M$8:$M$666666=A63)*(企贷明细!$Q$8:$Q$666666&lt;设置!$H$23)*(企贷明细!$R$8:$R$666666&gt;设置!$F$24)*(企贷明细!$T$8:$T$666666&gt;设置!$F$24)*(企贷明细!$N$8:$N$666666))</f>
        <v>0</v>
      </c>
      <c r="D63" s="56">
        <f t="shared" si="26"/>
        <v>0</v>
      </c>
      <c r="E63" s="56">
        <f t="shared" si="27"/>
        <v>0</v>
      </c>
      <c r="F63" s="56">
        <f>SUMPRODUCT((个贷明细!$M$8:$M$666666=A63)*(个贷明细!$AM$8:$AM$666666))+SUMPRODUCT((企贷明细!$M$8:$M$666666=A63)*(企贷明细!$AO$8:$AO$666666))</f>
        <v>0</v>
      </c>
      <c r="G63" s="56">
        <f>SUMPRODUCT((个贷明细!$M$8:$M$666666=A63)*(个贷明细!$AN$8:$AN$666666))+SUMPRODUCT((企贷明细!$M$8:$M$666666=A63)*(企贷明细!$AP$8:$AP$666666))</f>
        <v>0</v>
      </c>
      <c r="H63" s="56">
        <f>SUMPRODUCT((个贷明细!$M$8:$M$666666=A63)*(个贷明细!$AO$8:$AO$666666))+SUMPRODUCT((企贷明细!$M$8:$M$666666=A63)*(企贷明细!$AQ$8:$AQ$666666))</f>
        <v>0</v>
      </c>
      <c r="I63" s="56">
        <f t="shared" si="28"/>
        <v>0</v>
      </c>
      <c r="J63" s="56">
        <f>SUMPRODUCT((企贷明细!$M$8:$M$666666=A63)*(企贷明细!$AR$8:$AR$666666))</f>
        <v>0</v>
      </c>
      <c r="K63" s="56">
        <f>SUMPRODUCT((个贷明细!$M$8:$M$666666=A63)*(个贷明细!$AQ$8:$AQ$666666))+SUMPRODUCT((企贷明细!$M$8:$M$666666=A63)*(企贷明细!$AS$8:$AS$666666))+SUMPRODUCT((企贷明细!$M$8:$M$666666=A63)*(企贷明细!$AU$8:$AU$666666))</f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ht="14.25" spans="1:23">
      <c r="A64" s="68" t="str">
        <f>'1季统计'!A64</f>
        <v>其他银行3</v>
      </c>
      <c r="B64" s="56">
        <f>SUMPRODUCT((个贷明细!$M$8:$M$666666=A64)*(个贷明细!$Q$8:$Q$666666&gt;=设置!$F$23)*(个贷明细!$Q$8:$Q$666666&lt;=设置!$F$24)*(个贷明细!$N$8:$N$666666))+SUMPRODUCT((企贷明细!$M$8:$M$666666=A64)*(企贷明细!$Q$8:$Q$666666&gt;=设置!$F$23)*(企贷明细!$Q$8:$Q$666666&lt;=设置!$F$24)*(企贷明细!$N$8:$N$666666))</f>
        <v>0</v>
      </c>
      <c r="C64" s="56">
        <f>SUMPRODUCT((个贷明细!$M$8:$M$666666=A64)*(个贷明细!$Q$8:$Q$666666&lt;设置!$H$23)*(个贷明细!$R$8:$R$666666&gt;设置!$F$24)*(个贷明细!$T$8:$T$666666=0)*(个贷明细!$N$8:$N$666666))+SUMPRODUCT((个贷明细!$M$8:$M$666666=A64)*(个贷明细!$Q$8:$Q$666666&lt;设置!$H$23)*(个贷明细!$R$8:$R$666666&gt;设置!$F$24)*(个贷明细!$T$8:$T$666666&gt;设置!$F$24)*(个贷明细!$N$8:$N$666666))+SUMPRODUCT((企贷明细!$M$8:$M$666666=A64)*(企贷明细!$Q$8:$Q$666666&lt;设置!$H$23)*(企贷明细!$R$8:$R$666666&gt;设置!$F$24)*(企贷明细!$T$8:$T$666666=0)*(企贷明细!$N$8:$N$666666))+SUMPRODUCT((企贷明细!$M$8:$M$666666=A64)*(企贷明细!$Q$8:$Q$666666&lt;设置!$H$23)*(企贷明细!$R$8:$R$666666&gt;设置!$F$24)*(企贷明细!$T$8:$T$666666&gt;设置!$F$24)*(企贷明细!$N$8:$N$666666))</f>
        <v>0</v>
      </c>
      <c r="D64" s="56">
        <f t="shared" si="26"/>
        <v>0</v>
      </c>
      <c r="E64" s="56">
        <f t="shared" si="27"/>
        <v>0</v>
      </c>
      <c r="F64" s="56">
        <f>SUMPRODUCT((个贷明细!$M$8:$M$666666=A64)*(个贷明细!$AM$8:$AM$666666))+SUMPRODUCT((企贷明细!$M$8:$M$666666=A64)*(企贷明细!$AO$8:$AO$666666))</f>
        <v>0</v>
      </c>
      <c r="G64" s="56">
        <f>SUMPRODUCT((个贷明细!$M$8:$M$666666=A64)*(个贷明细!$AN$8:$AN$666666))+SUMPRODUCT((企贷明细!$M$8:$M$666666=A64)*(企贷明细!$AP$8:$AP$666666))</f>
        <v>0</v>
      </c>
      <c r="H64" s="56">
        <f>SUMPRODUCT((个贷明细!$M$8:$M$666666=A64)*(个贷明细!$AO$8:$AO$666666))+SUMPRODUCT((企贷明细!$M$8:$M$666666=A64)*(企贷明细!$AQ$8:$AQ$666666))</f>
        <v>0</v>
      </c>
      <c r="I64" s="56">
        <f t="shared" si="28"/>
        <v>0</v>
      </c>
      <c r="J64" s="56">
        <f>SUMPRODUCT((企贷明细!$M$8:$M$666666=A64)*(企贷明细!$AR$8:$AR$666666))</f>
        <v>0</v>
      </c>
      <c r="K64" s="56">
        <f>SUMPRODUCT((个贷明细!$M$8:$M$666666=A64)*(个贷明细!$AQ$8:$AQ$666666))+SUMPRODUCT((企贷明细!$M$8:$M$666666=A64)*(企贷明细!$AS$8:$AS$666666))+SUMPRODUCT((企贷明细!$M$8:$M$666666=A64)*(企贷明细!$AU$8:$AU$666666))</f>
        <v>0</v>
      </c>
      <c r="L64"/>
      <c r="M64"/>
      <c r="N64"/>
      <c r="O64"/>
      <c r="P64"/>
      <c r="Q64"/>
      <c r="R64"/>
      <c r="S64"/>
      <c r="T64"/>
      <c r="U64"/>
      <c r="V64"/>
      <c r="W64"/>
    </row>
  </sheetData>
  <sheetProtection password="CB92" sheet="1" formatColumns="0" objects="1"/>
  <mergeCells count="61">
    <mergeCell ref="B3:D3"/>
    <mergeCell ref="E3:M3"/>
    <mergeCell ref="N3:P3"/>
    <mergeCell ref="E4:G4"/>
    <mergeCell ref="H4:J4"/>
    <mergeCell ref="K4:M4"/>
    <mergeCell ref="B11:D11"/>
    <mergeCell ref="E11:M11"/>
    <mergeCell ref="E12:G12"/>
    <mergeCell ref="H12:J12"/>
    <mergeCell ref="K12:M12"/>
    <mergeCell ref="B19:W19"/>
    <mergeCell ref="B20:I20"/>
    <mergeCell ref="J20:O20"/>
    <mergeCell ref="P20:W20"/>
    <mergeCell ref="C21:F21"/>
    <mergeCell ref="G21:I21"/>
    <mergeCell ref="K21:N21"/>
    <mergeCell ref="Q21:T21"/>
    <mergeCell ref="U21:W21"/>
    <mergeCell ref="D31:K31"/>
    <mergeCell ref="E32:H32"/>
    <mergeCell ref="I32:K32"/>
    <mergeCell ref="A3:A6"/>
    <mergeCell ref="A11:A14"/>
    <mergeCell ref="A19:A22"/>
    <mergeCell ref="A31:A33"/>
    <mergeCell ref="B4:B6"/>
    <mergeCell ref="B12:B14"/>
    <mergeCell ref="B21:B22"/>
    <mergeCell ref="B31:B33"/>
    <mergeCell ref="C4:C6"/>
    <mergeCell ref="C12:C14"/>
    <mergeCell ref="C31:C33"/>
    <mergeCell ref="D4:D6"/>
    <mergeCell ref="D12:D14"/>
    <mergeCell ref="D32:D33"/>
    <mergeCell ref="E5:E6"/>
    <mergeCell ref="E13:E14"/>
    <mergeCell ref="F5:F6"/>
    <mergeCell ref="F13:F14"/>
    <mergeCell ref="G5:G6"/>
    <mergeCell ref="G13:G14"/>
    <mergeCell ref="H5:H6"/>
    <mergeCell ref="H13:H14"/>
    <mergeCell ref="I5:I6"/>
    <mergeCell ref="I13:I14"/>
    <mergeCell ref="J5:J6"/>
    <mergeCell ref="J13:J14"/>
    <mergeCell ref="J21:J22"/>
    <mergeCell ref="K5:K6"/>
    <mergeCell ref="K13:K14"/>
    <mergeCell ref="L5:L6"/>
    <mergeCell ref="L13:L14"/>
    <mergeCell ref="M5:M6"/>
    <mergeCell ref="M13:M14"/>
    <mergeCell ref="N5:N6"/>
    <mergeCell ref="O5:O6"/>
    <mergeCell ref="O21:O22"/>
    <mergeCell ref="P5:P6"/>
    <mergeCell ref="P21:P22"/>
  </mergeCells>
  <pageMargins left="0.751388888888889" right="0.751388888888889" top="1" bottom="1" header="0.5" footer="0.5"/>
  <pageSetup paperSize="9" scale="65" orientation="landscape" horizontalDpi="600"/>
  <headerFooter>
    <oddHeader>&amp;L内部资料，禁止外传</oddHeader>
  </headerFooter>
  <rowBreaks count="1" manualBreakCount="1">
    <brk id="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W64"/>
  <sheetViews>
    <sheetView showZeros="0" workbookViewId="0">
      <pane xSplit="1" topLeftCell="B1" activePane="topRight" state="frozen"/>
      <selection/>
      <selection pane="topRight" activeCell="A1" sqref="A1"/>
    </sheetView>
  </sheetViews>
  <sheetFormatPr defaultColWidth="8.725" defaultRowHeight="13.5"/>
  <cols>
    <col min="1" max="1" width="13.75" style="39" customWidth="1"/>
    <col min="2" max="23" width="8.5" style="39" customWidth="1"/>
    <col min="24" max="222" width="8.725" style="39"/>
    <col min="223" max="254" width="8.725" style="15"/>
    <col min="255" max="16319" width="8.725" style="39"/>
    <col min="16352" max="16352" width="8.725" style="39"/>
  </cols>
  <sheetData>
    <row r="1" s="39" customFormat="1" ht="18.75" spans="1:1">
      <c r="A1" s="42" t="str">
        <f>设置!B22&amp;(IF(YEAR(设置!D23)&lt;2021/1/1,"0000",YEAR(设置!D23)))&amp;设置!C28&amp;设置!A24&amp;设置!C27</f>
        <v>***市县2025年创业担保贷款财政贴息统计表(前三季度)</v>
      </c>
    </row>
    <row r="2" s="40" customFormat="1" ht="14.25" spans="2:23">
      <c r="B2" s="43"/>
      <c r="C2" s="43"/>
      <c r="D2" s="43"/>
      <c r="E2" s="44"/>
      <c r="F2" s="44"/>
      <c r="G2" s="45"/>
      <c r="H2" s="44"/>
      <c r="I2" s="44"/>
      <c r="J2" s="45"/>
      <c r="K2" s="44"/>
      <c r="L2" s="44"/>
      <c r="M2" s="45"/>
      <c r="N2" s="43"/>
      <c r="O2" s="43"/>
      <c r="P2" s="69" t="s">
        <v>228</v>
      </c>
      <c r="Q2" s="43"/>
      <c r="R2" s="43"/>
      <c r="S2" s="43"/>
      <c r="T2" s="44"/>
      <c r="U2" s="44"/>
      <c r="V2" s="45"/>
      <c r="W2" s="44"/>
    </row>
    <row r="3" s="41" customFormat="1" ht="12" spans="1:16">
      <c r="A3" s="46" t="s">
        <v>229</v>
      </c>
      <c r="B3" s="47" t="s">
        <v>230</v>
      </c>
      <c r="C3" s="47"/>
      <c r="D3" s="47"/>
      <c r="E3" s="48" t="s">
        <v>231</v>
      </c>
      <c r="F3" s="48"/>
      <c r="G3" s="48"/>
      <c r="H3" s="48"/>
      <c r="I3" s="48"/>
      <c r="J3" s="48"/>
      <c r="K3" s="48"/>
      <c r="L3" s="48"/>
      <c r="M3" s="48"/>
      <c r="N3" s="47" t="s">
        <v>232</v>
      </c>
      <c r="O3" s="47"/>
      <c r="P3" s="47"/>
    </row>
    <row r="4" s="41" customFormat="1" ht="12" spans="1:16">
      <c r="A4" s="49"/>
      <c r="B4" s="50" t="s">
        <v>204</v>
      </c>
      <c r="C4" s="50" t="s">
        <v>111</v>
      </c>
      <c r="D4" s="50" t="s">
        <v>233</v>
      </c>
      <c r="E4" s="51" t="s">
        <v>204</v>
      </c>
      <c r="F4" s="51"/>
      <c r="G4" s="51"/>
      <c r="H4" s="51" t="s">
        <v>111</v>
      </c>
      <c r="I4" s="51"/>
      <c r="J4" s="51"/>
      <c r="K4" s="51" t="s">
        <v>233</v>
      </c>
      <c r="L4" s="51"/>
      <c r="M4" s="51"/>
      <c r="N4" s="51" t="s">
        <v>204</v>
      </c>
      <c r="O4" s="51" t="s">
        <v>111</v>
      </c>
      <c r="P4" s="51" t="s">
        <v>233</v>
      </c>
    </row>
    <row r="5" s="41" customFormat="1" ht="26" customHeight="1" spans="1:16">
      <c r="A5" s="49"/>
      <c r="B5" s="50"/>
      <c r="C5" s="50"/>
      <c r="D5" s="50"/>
      <c r="E5" s="52" t="s">
        <v>204</v>
      </c>
      <c r="F5" s="52" t="s">
        <v>234</v>
      </c>
      <c r="G5" s="52" t="s">
        <v>235</v>
      </c>
      <c r="H5" s="52" t="s">
        <v>204</v>
      </c>
      <c r="I5" s="52" t="s">
        <v>234</v>
      </c>
      <c r="J5" s="52" t="s">
        <v>235</v>
      </c>
      <c r="K5" s="52" t="s">
        <v>204</v>
      </c>
      <c r="L5" s="52" t="s">
        <v>234</v>
      </c>
      <c r="M5" s="52" t="s">
        <v>235</v>
      </c>
      <c r="N5" s="52" t="s">
        <v>204</v>
      </c>
      <c r="O5" s="52" t="s">
        <v>234</v>
      </c>
      <c r="P5" s="52" t="s">
        <v>234</v>
      </c>
    </row>
    <row r="6" ht="26" customHeight="1" spans="1:16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ht="14.25" spans="1:16">
      <c r="A7" s="55" t="str">
        <f>设置!$B$22</f>
        <v>***市县</v>
      </c>
      <c r="B7" s="56">
        <f t="shared" ref="B7:B9" si="0">SUM(C7:D7)</f>
        <v>0</v>
      </c>
      <c r="C7" s="56">
        <f>SUMPRODUCT((个贷明细!P8:P666666&gt;=设置!E23)*(个贷明细!P8:P666666&lt;=设置!H24)*(个贷明细!AA8:AA666666&gt;0)*(1))</f>
        <v>0</v>
      </c>
      <c r="D7" s="56">
        <f>SUMPRODUCT((企贷明细!P8:P666666&gt;=设置!E23)*(企贷明细!P8:P666666&lt;=设置!H24)*(企贷明细!AA8:AA666666&gt;0)*(1))</f>
        <v>0</v>
      </c>
      <c r="E7" s="56">
        <f t="shared" ref="E7:E9" si="1">SUM(F7:G7)</f>
        <v>0</v>
      </c>
      <c r="F7" s="56">
        <f t="shared" ref="F7:F9" si="2">SUM(I7,L7)</f>
        <v>0</v>
      </c>
      <c r="G7" s="56">
        <f t="shared" ref="G7:G9" si="3">SUM(J7,M7)</f>
        <v>0</v>
      </c>
      <c r="H7" s="56">
        <f t="shared" ref="H7:H9" si="4">SUM(I7:J7)</f>
        <v>0</v>
      </c>
      <c r="I7" s="56">
        <f>SUMPRODUCT((个贷明细!P8:P666666&gt;=设置!E23)*(个贷明细!P8:P666666&lt;=设置!H24)*(个贷明细!AA8:AA666666))</f>
        <v>0</v>
      </c>
      <c r="J7" s="56">
        <f>SUMPRODUCT((个贷明细!P8:P666666&gt;=设置!E23)*(个贷明细!P8:P666666&lt;=设置!H24)*(个贷明细!AB8:AB666666))</f>
        <v>0</v>
      </c>
      <c r="K7" s="56">
        <f t="shared" ref="K7:K9" si="5">SUM(L7:M7)</f>
        <v>0</v>
      </c>
      <c r="L7" s="56">
        <f>SUMPRODUCT((企贷明细!P8:P666666&gt;=设置!E23)*(企贷明细!P8:P666666&lt;=设置!H24)*(企贷明细!AA8:AA666666))</f>
        <v>0</v>
      </c>
      <c r="M7" s="56">
        <f>SUMPRODUCT((企贷明细!P8:P666666&gt;=设置!E23)*(企贷明细!P8:P666666&lt;=设置!H24)*(企贷明细!AB8:AB666666))</f>
        <v>0</v>
      </c>
      <c r="N7" s="56">
        <f t="shared" ref="N7:N9" si="6">SUM(O7:P7)</f>
        <v>0</v>
      </c>
      <c r="O7" s="56">
        <f>SUMPRODUCT((个贷明细!N8:N666666&lt;&gt;0)*(个贷明细!P8:P666666&gt;=设置!E23)*(个贷明细!P8:P666666&lt;=设置!H24)*(个贷明细!I8:I666666="个人")*(1))+SUMPRODUCT((个贷明细!N8:N666666&lt;&gt;0)*(个贷明细!P8:P666666&gt;=设置!E23)*(个贷明细!P8:P666666&lt;=设置!H24)*(个贷明细!I8:I666666="合伙")*(个贷明细!J8:J666666))</f>
        <v>0</v>
      </c>
      <c r="P7" s="56">
        <f>SUMPRODUCT((企贷明细!N8:N666666&lt;&gt;0)*(企贷明细!P8:P666666&gt;=设置!E23)*(企贷明细!P8:P666666&lt;=设置!H24)*(企贷明细!J8:J666666))</f>
        <v>0</v>
      </c>
    </row>
    <row r="8" ht="14.25" spans="1:16">
      <c r="A8" s="57" t="s">
        <v>236</v>
      </c>
      <c r="B8" s="56">
        <f t="shared" si="0"/>
        <v>0</v>
      </c>
      <c r="C8" s="56">
        <f>SUMPRODUCT((个贷明细!P8:P666666&gt;=设置!J23)*(个贷明细!P8:P666666&gt;=设置!E23)*(个贷明细!P8:P666666&lt;=设置!H24)*(个贷明细!AA8:AA666666&gt;0)*(1))</f>
        <v>0</v>
      </c>
      <c r="D8" s="56">
        <f>SUMPRODUCT((企贷明细!P8:P666666&gt;=设置!J23)*(企贷明细!P8:P666666&gt;=设置!E23)*(企贷明细!P8:P666666&lt;=设置!H24)*(企贷明细!AA8:AA666666&gt;0)*(1))</f>
        <v>0</v>
      </c>
      <c r="E8" s="56">
        <f t="shared" si="1"/>
        <v>0</v>
      </c>
      <c r="F8" s="56">
        <f t="shared" si="2"/>
        <v>0</v>
      </c>
      <c r="G8" s="56">
        <f t="shared" si="3"/>
        <v>0</v>
      </c>
      <c r="H8" s="56">
        <f t="shared" si="4"/>
        <v>0</v>
      </c>
      <c r="I8" s="56">
        <f>SUMPRODUCT((个贷明细!P8:P666666&gt;=设置!J23)*(个贷明细!P8:P666666&gt;=设置!E23)*(个贷明细!P8:P666666&lt;=设置!H24)*(个贷明细!AA8:AA666666))</f>
        <v>0</v>
      </c>
      <c r="J8" s="56">
        <f>SUMPRODUCT((个贷明细!P8:P666666&gt;=设置!J23)*(个贷明细!P8:P666666&gt;=设置!E23)*(个贷明细!P8:P666666&lt;=设置!H24)*(个贷明细!AB8:AB666666))</f>
        <v>0</v>
      </c>
      <c r="K8" s="56">
        <f t="shared" si="5"/>
        <v>0</v>
      </c>
      <c r="L8" s="56">
        <f>SUMPRODUCT((企贷明细!P8:P666666&gt;=设置!J23)*(企贷明细!P8:P666666&gt;=设置!E23)*(企贷明细!P8:P666666&lt;=设置!H24)*(企贷明细!AA8:AA666666))</f>
        <v>0</v>
      </c>
      <c r="M8" s="56">
        <f>SUMPRODUCT((企贷明细!P8:P666666&gt;=设置!J23)*(企贷明细!P8:P666666&gt;=设置!E23)*(企贷明细!P8:P666666&lt;=设置!H24)*(企贷明细!AB8:AB666666))</f>
        <v>0</v>
      </c>
      <c r="N8" s="56">
        <f t="shared" si="6"/>
        <v>0</v>
      </c>
      <c r="O8" s="56">
        <f>SUMPRODUCT((个贷明细!N8:N666666&lt;&gt;0)*(个贷明细!P8:P666666&gt;=设置!J23)*(个贷明细!P8:P666666&gt;=设置!E23)*(个贷明细!P8:P666666&lt;=设置!H24)*(个贷明细!I8:I666666="个人")*(1))+SUMPRODUCT((个贷明细!N8:N666666&lt;&gt;0)*(个贷明细!P8:P666666&gt;=设置!J23)*(个贷明细!P8:P666666&gt;=设置!E23)*(个贷明细!P8:P666666&lt;=设置!H24)*(个贷明细!I8:I666666="合伙")*(个贷明细!J8:J666666))</f>
        <v>0</v>
      </c>
      <c r="P8" s="56">
        <f>SUMPRODUCT((企贷明细!N8:N666666&lt;&gt;0)*(企贷明细!P8:P666666&gt;=设置!J23)*(企贷明细!P8:P666666&gt;=设置!E23)*(企贷明细!P8:P666666&lt;=设置!H24)*(企贷明细!J8:J666666))</f>
        <v>0</v>
      </c>
    </row>
    <row r="9" ht="14.25" spans="1:16">
      <c r="A9" s="57" t="s">
        <v>237</v>
      </c>
      <c r="B9" s="56">
        <f t="shared" si="0"/>
        <v>0</v>
      </c>
      <c r="C9" s="56">
        <f>SUMPRODUCT((个贷明细!P8:P666666&lt;设置!J23)*(个贷明细!P8:P666666&gt;=设置!E23)*(个贷明细!P8:P666666&lt;=设置!H24)*(个贷明细!AA8:AA666666&gt;0)*(1))</f>
        <v>0</v>
      </c>
      <c r="D9" s="56">
        <f>SUMPRODUCT((企贷明细!P8:P666666&lt;设置!J23)*(企贷明细!P8:P666666&gt;=设置!E23)*(企贷明细!P8:P666666&lt;=设置!H24)*(企贷明细!AA8:AA666666&gt;0)*(1))</f>
        <v>0</v>
      </c>
      <c r="E9" s="56">
        <f t="shared" si="1"/>
        <v>0</v>
      </c>
      <c r="F9" s="56">
        <f t="shared" si="2"/>
        <v>0</v>
      </c>
      <c r="G9" s="56">
        <f t="shared" si="3"/>
        <v>0</v>
      </c>
      <c r="H9" s="56">
        <f t="shared" si="4"/>
        <v>0</v>
      </c>
      <c r="I9" s="56">
        <f>SUMPRODUCT((个贷明细!P8:P666666&lt;设置!J23)*(个贷明细!P8:P666666&gt;=设置!E23)*(个贷明细!P8:P666666&lt;=设置!H24)*(个贷明细!AA8:AA666666))</f>
        <v>0</v>
      </c>
      <c r="J9" s="56">
        <f>SUMPRODUCT((个贷明细!P8:P666666&lt;设置!J23)*(个贷明细!P8:P666666&gt;=设置!E23)*(个贷明细!P8:P666666&lt;=设置!H24)*(个贷明细!AB8:AB666666))</f>
        <v>0</v>
      </c>
      <c r="K9" s="56">
        <f t="shared" si="5"/>
        <v>0</v>
      </c>
      <c r="L9" s="56">
        <f>SUMPRODUCT((企贷明细!P8:P666666&lt;设置!J23)*(企贷明细!P8:P666666&gt;=设置!E23)*(企贷明细!P8:P666666&lt;=设置!H24)*(企贷明细!AA8:AA666666))</f>
        <v>0</v>
      </c>
      <c r="M9" s="56">
        <f>SUMPRODUCT((企贷明细!P8:P666666&lt;设置!J23)*(企贷明细!P8:P666666&gt;=设置!E23)*(企贷明细!P8:P666666&lt;=设置!H24)*(企贷明细!AB8:AB666666))</f>
        <v>0</v>
      </c>
      <c r="N9" s="56">
        <f t="shared" si="6"/>
        <v>0</v>
      </c>
      <c r="O9" s="56">
        <f>SUMPRODUCT((个贷明细!N8:N666666&lt;&gt;0)*(个贷明细!P8:P666666&lt;设置!J23)*(个贷明细!P8:P666666&gt;=设置!E23)*(个贷明细!P8:P666666&lt;=设置!H24)*(个贷明细!I8:I666666="个人")*(1))+SUMPRODUCT((个贷明细!N8:N666666&lt;&gt;0)*(个贷明细!P8:P666666&lt;设置!J23)*(个贷明细!P8:P666666&gt;=设置!E23)*(个贷明细!P8:P666666&lt;=设置!H24)*(个贷明细!I8:I666666="合伙")*(个贷明细!J8:J666666))</f>
        <v>0</v>
      </c>
      <c r="P9" s="56">
        <f>SUMPRODUCT((企贷明细!N8:N666666&lt;&gt;0)*(企贷明细!P8:P666666&lt;设置!J23)*(企贷明细!P8:P666666&gt;=设置!E23)*(企贷明细!P8:P666666&lt;=设置!H24)*(企贷明细!J8:J666666))</f>
        <v>0</v>
      </c>
    </row>
    <row r="11" spans="1:13">
      <c r="A11" s="46" t="s">
        <v>229</v>
      </c>
      <c r="B11" s="47" t="s">
        <v>238</v>
      </c>
      <c r="C11" s="47"/>
      <c r="D11" s="47"/>
      <c r="E11" s="48" t="s">
        <v>239</v>
      </c>
      <c r="F11" s="48"/>
      <c r="G11" s="48"/>
      <c r="H11" s="48"/>
      <c r="I11" s="48"/>
      <c r="J11" s="48"/>
      <c r="K11" s="48"/>
      <c r="L11" s="48"/>
      <c r="M11" s="48"/>
    </row>
    <row r="12" spans="1:13">
      <c r="A12" s="49"/>
      <c r="B12" s="52" t="s">
        <v>204</v>
      </c>
      <c r="C12" s="52" t="s">
        <v>111</v>
      </c>
      <c r="D12" s="52" t="s">
        <v>233</v>
      </c>
      <c r="E12" s="51" t="s">
        <v>204</v>
      </c>
      <c r="F12" s="51"/>
      <c r="G12" s="51"/>
      <c r="H12" s="51" t="s">
        <v>111</v>
      </c>
      <c r="I12" s="51"/>
      <c r="J12" s="51"/>
      <c r="K12" s="51" t="s">
        <v>233</v>
      </c>
      <c r="L12" s="51"/>
      <c r="M12" s="51"/>
    </row>
    <row r="13" spans="1:13">
      <c r="A13" s="49"/>
      <c r="B13" s="50"/>
      <c r="C13" s="50"/>
      <c r="D13" s="50"/>
      <c r="E13" s="58" t="s">
        <v>204</v>
      </c>
      <c r="F13" s="58" t="s">
        <v>234</v>
      </c>
      <c r="G13" s="58" t="s">
        <v>235</v>
      </c>
      <c r="H13" s="58" t="s">
        <v>204</v>
      </c>
      <c r="I13" s="58" t="s">
        <v>234</v>
      </c>
      <c r="J13" s="58" t="s">
        <v>235</v>
      </c>
      <c r="K13" s="58" t="s">
        <v>204</v>
      </c>
      <c r="L13" s="58" t="s">
        <v>234</v>
      </c>
      <c r="M13" s="58" t="s">
        <v>235</v>
      </c>
    </row>
    <row r="14" ht="37" customHeight="1" spans="1:13">
      <c r="A14" s="53"/>
      <c r="B14" s="54"/>
      <c r="C14" s="54"/>
      <c r="D14" s="54"/>
      <c r="E14" s="59"/>
      <c r="F14" s="59"/>
      <c r="G14" s="59"/>
      <c r="H14" s="59"/>
      <c r="I14" s="59"/>
      <c r="J14" s="59"/>
      <c r="K14" s="59"/>
      <c r="L14" s="59"/>
      <c r="M14" s="59"/>
    </row>
    <row r="15" ht="14.25" spans="1:13">
      <c r="A15" s="55" t="str">
        <f>设置!$B$22</f>
        <v>***市县</v>
      </c>
      <c r="B15" s="56">
        <f t="shared" ref="B15:B17" si="7">SUM(C15:D15)</f>
        <v>0</v>
      </c>
      <c r="C15" s="56">
        <f>SUMPRODUCT((个贷明细!N8:N666666&lt;&gt;0)*(个贷明细!P8:P666666&lt;设置!J23)*(个贷明细!R8:R666666&gt;设置!H24)*(个贷明细!T8:T666666=0)*(1))+SUMPRODUCT((个贷明细!N8:N666666&lt;&gt;0)*(个贷明细!P8:P666666&lt;设置!J23)*(个贷明细!R8:R666666&gt;设置!H24)*(个贷明细!T8:T666666&gt;设置!H24)*(1))</f>
        <v>0</v>
      </c>
      <c r="D15" s="56">
        <f>SUMPRODUCT((企贷明细!N8:N666666&lt;&gt;0)*(企贷明细!P8:P666666&lt;设置!J23)*(企贷明细!R8:R666666&gt;设置!H24)*(企贷明细!T8:T666666=0)*(1))+SUMPRODUCT((企贷明细!N8:N666666&lt;&gt;0)*(企贷明细!P8:P666666&lt;设置!J23)*(企贷明细!R8:R666666&gt;设置!H24)*(企贷明细!T8:T666666&gt;设置!H24)*(1))</f>
        <v>0</v>
      </c>
      <c r="E15" s="56">
        <f t="shared" ref="E15:E17" si="8">SUM(F15:G15)</f>
        <v>0</v>
      </c>
      <c r="F15" s="56">
        <f t="shared" ref="F15:F17" si="9">SUM(I15,L15)</f>
        <v>0</v>
      </c>
      <c r="G15" s="56">
        <f t="shared" ref="G15:G17" si="10">SUM(J15,M15)</f>
        <v>0</v>
      </c>
      <c r="H15" s="56">
        <f t="shared" ref="H15:H17" si="11">SUM(I15:J15)</f>
        <v>0</v>
      </c>
      <c r="I15" s="56">
        <f>SUMPRODUCT((个贷明细!P8:P666666&lt;设置!J23)*(个贷明细!R8:R666666&gt;设置!H24)*(个贷明细!T8:T666666=0)*(个贷明细!AA8:AA666666))+SUMPRODUCT((个贷明细!P8:P666666&lt;设置!J23)*(个贷明细!R8:R666666&gt;设置!H24)*(个贷明细!T8:T666666&gt;设置!H24)*(个贷明细!AA8:AA666666))</f>
        <v>0</v>
      </c>
      <c r="J15" s="56">
        <f>SUMPRODUCT((个贷明细!P8:P666666&lt;设置!J23)*(个贷明细!R8:R666666&gt;设置!H24)*(个贷明细!T8:T666666=0)*(个贷明细!AB8:AB666666))+SUMPRODUCT((个贷明细!P8:P666666&lt;设置!J23)*(个贷明细!R8:R666666&gt;设置!H24)*(个贷明细!T8:T666666&gt;设置!H24)*(个贷明细!AB8:AB666666))</f>
        <v>0</v>
      </c>
      <c r="K15" s="56">
        <f t="shared" ref="K15:K17" si="12">SUM(L15:M15)</f>
        <v>0</v>
      </c>
      <c r="L15" s="56">
        <f>SUMPRODUCT((企贷明细!P8:P666666&lt;设置!J23)*(企贷明细!R8:R666666&gt;设置!H24)*(企贷明细!T8:T666666=0)*(企贷明细!AA8:AA666666))+SUMPRODUCT((企贷明细!P8:P666666&lt;设置!J23)*(企贷明细!R8:R666666&gt;设置!H24)*(企贷明细!T8:T666666&gt;设置!H24)*(企贷明细!AA8:AA666666))</f>
        <v>0</v>
      </c>
      <c r="M15" s="56">
        <f>SUMPRODUCT((企贷明细!P8:P666666&lt;设置!J23)*(企贷明细!R8:R666666&gt;设置!H24)*(企贷明细!T8:T666666=0)*(企贷明细!AB8:AB666666))+SUMPRODUCT((企贷明细!P8:P666666&lt;设置!J23)*(企贷明细!R8:R666666&gt;设置!H24)*(企贷明细!T8:T666666&gt;设置!H24)*(企贷明细!AB8:AB666666))</f>
        <v>0</v>
      </c>
    </row>
    <row r="16" ht="14.25" spans="1:13">
      <c r="A16" s="57" t="s">
        <v>236</v>
      </c>
      <c r="B16" s="56">
        <f t="shared" si="7"/>
        <v>0</v>
      </c>
      <c r="C16" s="56">
        <f>SUMPRODUCT((个贷明细!N8:N666666&lt;&gt;0)*(个贷明细!P8:P666666&gt;=设置!J23)*(个贷明细!P8:P666666&lt;设置!J23)*(个贷明细!R8:R666666&gt;设置!H24)*(个贷明细!T8:T666666=0)*(1))+SUMPRODUCT((个贷明细!N8:N666666&lt;&gt;0)*(个贷明细!P8:P666666&gt;=设置!J23)*(个贷明细!P8:P666666&lt;设置!J23)*(个贷明细!R8:R666666&gt;设置!H24)*(个贷明细!T8:T666666&gt;设置!H24)*(1))</f>
        <v>0</v>
      </c>
      <c r="D16" s="56">
        <f>SUMPRODUCT((企贷明细!N8:N666666&lt;&gt;0)*(企贷明细!P8:P666666&gt;=设置!J23)*(企贷明细!P8:P666666&lt;设置!J23)*(企贷明细!R8:R666666&gt;设置!H24)*(企贷明细!T8:T666666=0)*(1))+SUMPRODUCT((企贷明细!N8:N666666&lt;&gt;0)*(企贷明细!P8:P666666&gt;=设置!J23)*(企贷明细!P8:P666666&lt;设置!J23)*(企贷明细!R8:R666666&gt;设置!H24)*(企贷明细!T8:T666666&gt;设置!H24)*(1))</f>
        <v>0</v>
      </c>
      <c r="E16" s="56">
        <f t="shared" si="8"/>
        <v>0</v>
      </c>
      <c r="F16" s="56">
        <f t="shared" si="9"/>
        <v>0</v>
      </c>
      <c r="G16" s="56">
        <f t="shared" si="10"/>
        <v>0</v>
      </c>
      <c r="H16" s="56">
        <f t="shared" si="11"/>
        <v>0</v>
      </c>
      <c r="I16" s="56">
        <f>SUMPRODUCT((个贷明细!P8:P666666&gt;=设置!J23)*(个贷明细!P8:P666666&lt;设置!J23)*(个贷明细!R8:R666666&gt;设置!H24)*(个贷明细!T8:T666666=0)*(个贷明细!AA8:AA666666))+SUMPRODUCT((个贷明细!P8:P666666&gt;=设置!J23)*(个贷明细!P8:P666666&lt;设置!J23)*(个贷明细!R8:R666666&gt;设置!H24)*(个贷明细!T8:T666666&gt;设置!H24)*(个贷明细!AA8:AA666666))</f>
        <v>0</v>
      </c>
      <c r="J16" s="56">
        <f>SUMPRODUCT((个贷明细!P8:P666666&gt;=设置!J23)*(个贷明细!P8:P666666&lt;设置!J23)*(个贷明细!R8:R666666&gt;设置!H24)*(个贷明细!T8:T666666=0)*(个贷明细!AB8:AB666666))+SUMPRODUCT((个贷明细!P8:P666666&gt;=设置!J23)*(个贷明细!P8:P666666&lt;设置!J23)*(个贷明细!R8:R666666&gt;设置!H24)*(个贷明细!T8:T666666&gt;设置!H24)*(个贷明细!AB8:AB666666))</f>
        <v>0</v>
      </c>
      <c r="K16" s="56">
        <f t="shared" si="12"/>
        <v>0</v>
      </c>
      <c r="L16" s="56">
        <f>SUMPRODUCT((企贷明细!P8:P666666&gt;=设置!J23)*(企贷明细!P8:P666666&lt;设置!J23)*(企贷明细!R8:R666666&gt;设置!H24)*(企贷明细!T8:T666666=0)*(企贷明细!AA8:AA666666))+SUMPRODUCT((企贷明细!P8:P666666&gt;=设置!J23)*(企贷明细!P8:P666666&lt;设置!J23)*(企贷明细!R8:R666666&gt;设置!H24)*(企贷明细!T8:T666666&gt;设置!H24)*(企贷明细!AA8:AA666666))</f>
        <v>0</v>
      </c>
      <c r="M16" s="56">
        <f>SUMPRODUCT((企贷明细!P8:P666666&gt;=设置!J23)*(企贷明细!P8:P666666&lt;设置!J23)*(企贷明细!R8:R666666&gt;设置!H24)*(企贷明细!T8:T666666=0)*(企贷明细!AB8:AB666666))+SUMPRODUCT((企贷明细!P8:P666666&gt;=设置!J23)*(企贷明细!P8:P666666&lt;设置!J23)*(企贷明细!R8:R666666&gt;设置!H24)*(企贷明细!T8:T666666&gt;设置!H24)*(企贷明细!AB8:AB666666))</f>
        <v>0</v>
      </c>
    </row>
    <row r="17" ht="14.25" spans="1:13">
      <c r="A17" s="57" t="s">
        <v>237</v>
      </c>
      <c r="B17" s="56">
        <f t="shared" si="7"/>
        <v>0</v>
      </c>
      <c r="C17" s="56">
        <f>SUMPRODUCT((个贷明细!N8:N666666&lt;&gt;0)*(个贷明细!P8:P666666&lt;设置!J23)*(个贷明细!R8:R666666&gt;设置!H24)*(个贷明细!T8:T666666=0)*(1))+SUMPRODUCT((个贷明细!N8:N666666&lt;&gt;0)*(个贷明细!P8:P666666&lt;设置!J23)*(个贷明细!R8:R666666&gt;设置!H24)*(个贷明细!T8:T666666&gt;设置!H24)*(1))</f>
        <v>0</v>
      </c>
      <c r="D17" s="56">
        <f>SUMPRODUCT((企贷明细!N8:N666666&lt;&gt;0)*(企贷明细!P8:P666666&lt;设置!J23)*(企贷明细!R8:R666666&gt;设置!H24)*(企贷明细!T8:T666666=0)*(1))+SUMPRODUCT((企贷明细!N8:N666666&lt;&gt;0)*(企贷明细!P8:P666666&lt;设置!J23)*(企贷明细!R8:R666666&gt;设置!H24)*(企贷明细!T8:T666666&gt;设置!H24)*(1))</f>
        <v>0</v>
      </c>
      <c r="E17" s="56">
        <f t="shared" si="8"/>
        <v>0</v>
      </c>
      <c r="F17" s="56">
        <f t="shared" si="9"/>
        <v>0</v>
      </c>
      <c r="G17" s="56">
        <f t="shared" si="10"/>
        <v>0</v>
      </c>
      <c r="H17" s="56">
        <f t="shared" si="11"/>
        <v>0</v>
      </c>
      <c r="I17" s="56">
        <f>SUMPRODUCT((个贷明细!P8:P666666&lt;设置!J23)*(个贷明细!R8:R666666&gt;设置!H24)*(个贷明细!T8:T666666=0)*(个贷明细!AA8:AA666666))+SUMPRODUCT((个贷明细!P8:P666666&lt;设置!J23)*(个贷明细!R8:R666666&gt;设置!H24)*(个贷明细!T8:T666666&gt;设置!H24)*(个贷明细!AA8:AA666666))</f>
        <v>0</v>
      </c>
      <c r="J17" s="56">
        <f>SUMPRODUCT((个贷明细!P8:P666666&lt;设置!J23)*(个贷明细!R8:R666666&gt;设置!H24)*(个贷明细!T8:T666666=0)*(个贷明细!AB8:AB666666))+SUMPRODUCT((个贷明细!P8:P666666&lt;设置!J23)*(个贷明细!R8:R666666&gt;设置!H24)*(个贷明细!T8:T666666&gt;设置!H24)*(个贷明细!AB8:AB666666))</f>
        <v>0</v>
      </c>
      <c r="K17" s="56">
        <f t="shared" si="12"/>
        <v>0</v>
      </c>
      <c r="L17" s="56">
        <f>SUMPRODUCT((企贷明细!P8:P666666&lt;设置!J23)*(企贷明细!R8:R666666&gt;设置!H24)*(企贷明细!T8:T666666=0)*(企贷明细!AA8:AA666666))+SUMPRODUCT((企贷明细!P8:P666666&lt;设置!J23)*(企贷明细!R8:R666666&gt;设置!H24)*(企贷明细!T8:T666666&gt;设置!H24)*(企贷明细!AA8:AA666666))</f>
        <v>0</v>
      </c>
      <c r="M17" s="56">
        <f>SUMPRODUCT((企贷明细!P8:P666666&lt;设置!J23)*(企贷明细!R8:R666666&gt;设置!H24)*(企贷明细!T8:T666666=0)*(企贷明细!AB8:AB666666))+SUMPRODUCT((企贷明细!P8:P666666&lt;设置!J23)*(企贷明细!R8:R666666&gt;设置!H24)*(企贷明细!T8:T666666&gt;设置!H24)*(企贷明细!AB8:AB666666))</f>
        <v>0</v>
      </c>
    </row>
    <row r="19" spans="1:23">
      <c r="A19" s="46" t="s">
        <v>229</v>
      </c>
      <c r="B19" s="48" t="s">
        <v>240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49"/>
      <c r="B20" s="60" t="s">
        <v>204</v>
      </c>
      <c r="C20" s="61"/>
      <c r="D20" s="61"/>
      <c r="E20" s="61"/>
      <c r="F20" s="61"/>
      <c r="G20" s="61"/>
      <c r="H20" s="61"/>
      <c r="I20" s="70"/>
      <c r="J20" s="60" t="s">
        <v>111</v>
      </c>
      <c r="K20" s="61"/>
      <c r="L20" s="61"/>
      <c r="M20" s="61"/>
      <c r="N20" s="61"/>
      <c r="O20" s="70"/>
      <c r="P20" s="60" t="s">
        <v>233</v>
      </c>
      <c r="Q20" s="61"/>
      <c r="R20" s="61"/>
      <c r="S20" s="61"/>
      <c r="T20" s="61"/>
      <c r="U20" s="61"/>
      <c r="V20" s="61"/>
      <c r="W20" s="70"/>
    </row>
    <row r="21" spans="1:23">
      <c r="A21" s="49"/>
      <c r="B21" s="62" t="s">
        <v>204</v>
      </c>
      <c r="C21" s="62" t="s">
        <v>241</v>
      </c>
      <c r="D21" s="62"/>
      <c r="E21" s="62"/>
      <c r="F21" s="62"/>
      <c r="G21" s="62" t="s">
        <v>242</v>
      </c>
      <c r="H21" s="62"/>
      <c r="I21" s="62"/>
      <c r="J21" s="62" t="s">
        <v>204</v>
      </c>
      <c r="K21" s="62" t="s">
        <v>241</v>
      </c>
      <c r="L21" s="62"/>
      <c r="M21" s="62"/>
      <c r="N21" s="62"/>
      <c r="O21" s="62" t="s">
        <v>242</v>
      </c>
      <c r="P21" s="62" t="s">
        <v>204</v>
      </c>
      <c r="Q21" s="62" t="s">
        <v>241</v>
      </c>
      <c r="R21" s="62"/>
      <c r="S21" s="62"/>
      <c r="T21" s="62"/>
      <c r="U21" s="62" t="s">
        <v>242</v>
      </c>
      <c r="V21" s="62"/>
      <c r="W21" s="62"/>
    </row>
    <row r="22" ht="27" customHeight="1" spans="1:23">
      <c r="A22" s="53"/>
      <c r="B22" s="62"/>
      <c r="C22" s="62" t="s">
        <v>204</v>
      </c>
      <c r="D22" s="63" t="s">
        <v>205</v>
      </c>
      <c r="E22" s="62" t="s">
        <v>206</v>
      </c>
      <c r="F22" s="62" t="s">
        <v>207</v>
      </c>
      <c r="G22" s="62" t="s">
        <v>204</v>
      </c>
      <c r="H22" s="62" t="s">
        <v>206</v>
      </c>
      <c r="I22" s="62" t="s">
        <v>207</v>
      </c>
      <c r="J22" s="62"/>
      <c r="K22" s="62" t="s">
        <v>204</v>
      </c>
      <c r="L22" s="63" t="s">
        <v>205</v>
      </c>
      <c r="M22" s="62" t="s">
        <v>206</v>
      </c>
      <c r="N22" s="62" t="s">
        <v>207</v>
      </c>
      <c r="O22" s="62"/>
      <c r="P22" s="62"/>
      <c r="Q22" s="62" t="s">
        <v>204</v>
      </c>
      <c r="R22" s="63" t="s">
        <v>205</v>
      </c>
      <c r="S22" s="62" t="s">
        <v>206</v>
      </c>
      <c r="T22" s="62" t="s">
        <v>207</v>
      </c>
      <c r="U22" s="62" t="s">
        <v>204</v>
      </c>
      <c r="V22" s="62" t="s">
        <v>206</v>
      </c>
      <c r="W22" s="62" t="s">
        <v>207</v>
      </c>
    </row>
    <row r="23" ht="14.25" spans="1:23">
      <c r="A23" s="55" t="str">
        <f>设置!$B$22</f>
        <v>***市县</v>
      </c>
      <c r="B23" s="56">
        <f t="shared" ref="B23:B25" si="13">SUM(C23,G23)</f>
        <v>0</v>
      </c>
      <c r="C23" s="56">
        <f t="shared" ref="C23:C25" si="14">SUM(D23:F23)</f>
        <v>0</v>
      </c>
      <c r="D23" s="56">
        <f t="shared" ref="D23:F23" si="15">SUM(L23,R23)</f>
        <v>0</v>
      </c>
      <c r="E23" s="56">
        <f t="shared" si="15"/>
        <v>0</v>
      </c>
      <c r="F23" s="56">
        <f t="shared" si="15"/>
        <v>0</v>
      </c>
      <c r="G23" s="56">
        <f t="shared" ref="G23:G25" si="16">SUM(H23:I23)</f>
        <v>0</v>
      </c>
      <c r="H23" s="56">
        <f t="shared" ref="H23:H25" si="17">SUM(V23)</f>
        <v>0</v>
      </c>
      <c r="I23" s="56">
        <f t="shared" ref="I23:I25" si="18">SUM(O23,W23)</f>
        <v>0</v>
      </c>
      <c r="J23" s="56">
        <f t="shared" ref="J23:J25" si="19">SUM(K23,O23)</f>
        <v>0</v>
      </c>
      <c r="K23" s="56">
        <f t="shared" ref="K23:K25" si="20">SUM(L23:N23)</f>
        <v>0</v>
      </c>
      <c r="L23" s="56">
        <f>个贷明细!AU7+'2季统计'!L23</f>
        <v>0</v>
      </c>
      <c r="M23" s="56">
        <f>个贷明细!AV7+'2季统计'!M23</f>
        <v>0</v>
      </c>
      <c r="N23" s="56">
        <f>个贷明细!AW7+'2季统计'!N23</f>
        <v>0</v>
      </c>
      <c r="O23" s="56">
        <f>个贷明细!AY7+'2季统计'!O23</f>
        <v>0</v>
      </c>
      <c r="P23" s="56">
        <f t="shared" ref="P23:P25" si="21">SUM(Q23,U23)</f>
        <v>0</v>
      </c>
      <c r="Q23" s="56">
        <f t="shared" ref="Q23:Q25" si="22">SUM(R23:T23)</f>
        <v>0</v>
      </c>
      <c r="R23" s="56">
        <f>企贷明细!AY7+'2季统计'!R23</f>
        <v>0</v>
      </c>
      <c r="S23" s="56">
        <f>企贷明细!AZ7+'2季统计'!S23</f>
        <v>0</v>
      </c>
      <c r="T23" s="56">
        <f>企贷明细!BA7+'2季统计'!T23</f>
        <v>0</v>
      </c>
      <c r="U23" s="56">
        <f t="shared" ref="U23:U25" si="23">SUM(V23:W23)</f>
        <v>0</v>
      </c>
      <c r="V23" s="56">
        <f>企贷明细!BB7+'2季统计'!V23</f>
        <v>0</v>
      </c>
      <c r="W23" s="56">
        <f>企贷明细!BC7+企贷明细!BE7+'2季统计'!W23</f>
        <v>0</v>
      </c>
    </row>
    <row r="24" ht="14.25" spans="1:23">
      <c r="A24" s="57" t="s">
        <v>236</v>
      </c>
      <c r="B24" s="56">
        <f t="shared" si="13"/>
        <v>0</v>
      </c>
      <c r="C24" s="56">
        <f t="shared" si="14"/>
        <v>0</v>
      </c>
      <c r="D24" s="56">
        <f t="shared" ref="D24:F24" si="24">SUM(L24,R24)</f>
        <v>0</v>
      </c>
      <c r="E24" s="56">
        <f t="shared" si="24"/>
        <v>0</v>
      </c>
      <c r="F24" s="56">
        <f t="shared" si="24"/>
        <v>0</v>
      </c>
      <c r="G24" s="56">
        <f t="shared" si="16"/>
        <v>0</v>
      </c>
      <c r="H24" s="56">
        <f t="shared" si="17"/>
        <v>0</v>
      </c>
      <c r="I24" s="56">
        <f t="shared" si="18"/>
        <v>0</v>
      </c>
      <c r="J24" s="56">
        <f t="shared" si="19"/>
        <v>0</v>
      </c>
      <c r="K24" s="56">
        <f t="shared" si="20"/>
        <v>0</v>
      </c>
      <c r="L24" s="71">
        <f>SUMPRODUCT((个贷明细!P8:P666666&gt;=设置!J23)*(个贷明细!AU8:AU666666))+'2季统计'!L24</f>
        <v>0</v>
      </c>
      <c r="M24" s="71">
        <f>SUMPRODUCT((个贷明细!P8:P666666&gt;=设置!J23)*(个贷明细!AV8:AV666666))+'2季统计'!M24</f>
        <v>0</v>
      </c>
      <c r="N24" s="56">
        <f>SUMPRODUCT((个贷明细!P8:P666666&gt;=设置!J23)*(个贷明细!AW8:AW666666))+'2季统计'!N24</f>
        <v>0</v>
      </c>
      <c r="O24" s="56">
        <f>SUMPRODUCT((个贷明细!P8:P666666&gt;=设置!J23)*(个贷明细!AY8:AY666666))+'2季统计'!O24</f>
        <v>0</v>
      </c>
      <c r="P24" s="56">
        <f t="shared" si="21"/>
        <v>0</v>
      </c>
      <c r="Q24" s="56">
        <f t="shared" si="22"/>
        <v>0</v>
      </c>
      <c r="R24" s="71">
        <f>SUMPRODUCT((企贷明细!P8:P666666&gt;=设置!J23)*(企贷明细!AY8:AY666666))+'2季统计'!R24</f>
        <v>0</v>
      </c>
      <c r="S24" s="71">
        <f>SUMPRODUCT((企贷明细!P8:P666666&gt;=设置!J23)*(企贷明细!AZ8:AZ666666))+'2季统计'!S24</f>
        <v>0</v>
      </c>
      <c r="T24" s="56">
        <f>SUMPRODUCT((企贷明细!P8:P666666&gt;=设置!J23)*(企贷明细!BA8:BA666666))+'2季统计'!T24</f>
        <v>0</v>
      </c>
      <c r="U24" s="56">
        <f t="shared" si="23"/>
        <v>0</v>
      </c>
      <c r="V24" s="56">
        <f>SUMPRODUCT((企贷明细!P8:P666666&gt;=设置!J23)*(企贷明细!BB8:BB666666))+'2季统计'!V24</f>
        <v>0</v>
      </c>
      <c r="W24" s="56">
        <f>SUMPRODUCT((企贷明细!P8:P666666&gt;=设置!J23)*(企贷明细!BC8:BC666666))+SUMPRODUCT((企贷明细!P8:P666666&gt;=设置!J23)*(企贷明细!BE8:BE666666))+'2季统计'!W24</f>
        <v>0</v>
      </c>
    </row>
    <row r="25" ht="14.25" spans="1:23">
      <c r="A25" s="57" t="s">
        <v>237</v>
      </c>
      <c r="B25" s="56">
        <f t="shared" si="13"/>
        <v>0</v>
      </c>
      <c r="C25" s="56">
        <f t="shared" si="14"/>
        <v>0</v>
      </c>
      <c r="D25" s="56">
        <f t="shared" ref="D25:F25" si="25">SUM(L25,R25)</f>
        <v>0</v>
      </c>
      <c r="E25" s="56">
        <f t="shared" si="25"/>
        <v>0</v>
      </c>
      <c r="F25" s="56">
        <f t="shared" si="25"/>
        <v>0</v>
      </c>
      <c r="G25" s="56">
        <f t="shared" si="16"/>
        <v>0</v>
      </c>
      <c r="H25" s="56">
        <f t="shared" si="17"/>
        <v>0</v>
      </c>
      <c r="I25" s="56">
        <f t="shared" si="18"/>
        <v>0</v>
      </c>
      <c r="J25" s="56">
        <f t="shared" si="19"/>
        <v>0</v>
      </c>
      <c r="K25" s="56">
        <f t="shared" si="20"/>
        <v>0</v>
      </c>
      <c r="L25" s="56">
        <f>SUMPRODUCT((个贷明细!P8:P666666&lt;设置!J23)*(个贷明细!AU8:AU666666))+'2季统计'!L25</f>
        <v>0</v>
      </c>
      <c r="M25" s="56">
        <f>SUMPRODUCT((个贷明细!P8:P666666&lt;设置!J23)*(个贷明细!AV8:AV666666))+'2季统计'!M25</f>
        <v>0</v>
      </c>
      <c r="N25" s="56">
        <f>SUMPRODUCT((个贷明细!P8:P666666&lt;设置!J23)*(个贷明细!AW8:AW666666))+'2季统计'!N25</f>
        <v>0</v>
      </c>
      <c r="O25" s="56">
        <f>SUMPRODUCT((个贷明细!P8:P666666&lt;设置!J23)*(个贷明细!AY8:AY666666))+'2季统计'!O25</f>
        <v>0</v>
      </c>
      <c r="P25" s="56">
        <f t="shared" si="21"/>
        <v>0</v>
      </c>
      <c r="Q25" s="56">
        <f t="shared" si="22"/>
        <v>0</v>
      </c>
      <c r="R25" s="56">
        <f>SUMPRODUCT((企贷明细!P8:P666666&lt;设置!J23)*(企贷明细!AY8:AY666666))+'2季统计'!R25</f>
        <v>0</v>
      </c>
      <c r="S25" s="56">
        <f>SUMPRODUCT((企贷明细!P8:P666666&lt;设置!J23)*(企贷明细!AZ8:AZ666666))+'2季统计'!S25</f>
        <v>0</v>
      </c>
      <c r="T25" s="56">
        <f>SUMPRODUCT((企贷明细!P8:P666666&lt;设置!J23)*(企贷明细!BA8:BA666666))+'2季统计'!T25</f>
        <v>0</v>
      </c>
      <c r="U25" s="56">
        <f t="shared" si="23"/>
        <v>0</v>
      </c>
      <c r="V25" s="56">
        <f>SUMPRODUCT((企贷明细!P8:P666666&lt;设置!J23)*(企贷明细!BB8:BB666666))+'2季统计'!V25</f>
        <v>0</v>
      </c>
      <c r="W25" s="56">
        <f>SUMPRODUCT((企贷明细!P8:P666666&lt;设置!J23)*(企贷明细!BC8:BC666666))+SUMPRODUCT((企贷明细!P8:P666666&lt;设置!J23)*(企贷明细!BE8:BE666666))+'2季统计'!W25</f>
        <v>0</v>
      </c>
    </row>
    <row r="28" ht="18.75" spans="1:23">
      <c r="A28" s="42" t="str">
        <f>设置!B22&amp;(IF(YEAR(设置!D23)&lt;2021/1/1,"0000",YEAR(设置!D23)))&amp;设置!C28&amp;"三季度创业担保贷款财政贴息资金使用明细表"</f>
        <v>***市县2025年三季度创业担保贷款财政贴息资金使用明细表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>
      <c r="A30" s="64"/>
      <c r="B30" s="64"/>
      <c r="C30" s="64"/>
      <c r="D30" s="64"/>
      <c r="E30" s="15"/>
      <c r="F30" s="15"/>
      <c r="G30" s="15"/>
      <c r="H30" s="15"/>
      <c r="J30" s="15"/>
      <c r="K30" s="73" t="s">
        <v>243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>
      <c r="A31" s="65"/>
      <c r="B31" s="66" t="s">
        <v>244</v>
      </c>
      <c r="C31" s="66" t="s">
        <v>239</v>
      </c>
      <c r="D31" s="65" t="s">
        <v>245</v>
      </c>
      <c r="E31" s="65"/>
      <c r="F31" s="65"/>
      <c r="G31" s="65"/>
      <c r="H31" s="65"/>
      <c r="I31" s="65"/>
      <c r="J31" s="65"/>
      <c r="K31" s="65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 s="65"/>
      <c r="B32" s="66"/>
      <c r="C32" s="66"/>
      <c r="D32" s="67" t="s">
        <v>204</v>
      </c>
      <c r="E32" s="63" t="s">
        <v>241</v>
      </c>
      <c r="F32" s="63"/>
      <c r="G32" s="63"/>
      <c r="H32" s="63"/>
      <c r="I32" s="63" t="s">
        <v>242</v>
      </c>
      <c r="J32" s="63"/>
      <c r="K32" s="63"/>
      <c r="L32"/>
      <c r="M32"/>
      <c r="N32"/>
      <c r="O32"/>
      <c r="P32"/>
      <c r="Q32"/>
      <c r="R32"/>
      <c r="S32"/>
      <c r="T32"/>
      <c r="U32"/>
      <c r="V32"/>
      <c r="W32"/>
    </row>
    <row r="33" ht="24" spans="1:23">
      <c r="A33" s="65"/>
      <c r="B33" s="66"/>
      <c r="C33" s="66"/>
      <c r="D33" s="67"/>
      <c r="E33" s="63" t="s">
        <v>246</v>
      </c>
      <c r="F33" s="63" t="s">
        <v>205</v>
      </c>
      <c r="G33" s="63" t="s">
        <v>206</v>
      </c>
      <c r="H33" s="63" t="s">
        <v>207</v>
      </c>
      <c r="I33" s="63" t="s">
        <v>246</v>
      </c>
      <c r="J33" s="63" t="s">
        <v>206</v>
      </c>
      <c r="K33" s="63" t="s">
        <v>207</v>
      </c>
      <c r="L33"/>
      <c r="M33"/>
      <c r="N33"/>
      <c r="O33"/>
      <c r="P33"/>
      <c r="Q33"/>
      <c r="R33"/>
      <c r="S33"/>
      <c r="T33"/>
      <c r="U33"/>
      <c r="V33"/>
      <c r="W33"/>
    </row>
    <row r="34" ht="14.25" spans="1:23">
      <c r="A34" s="65" t="s">
        <v>204</v>
      </c>
      <c r="B34" s="56">
        <f>SUMPRODUCT((个贷明细!$Q$8:$Q$666666&gt;=设置!$H$23)*(个贷明细!$Q$8:$Q$666666&lt;=设置!$H$24)*(个贷明细!$N$8:$N$666666))+SUMPRODUCT((企贷明细!$Q$8:$Q$666666&gt;=设置!$H$23)*(企贷明细!$Q$8:$Q$666666&lt;=设置!$H$24)*(企贷明细!$N$8:$N$666666))</f>
        <v>0</v>
      </c>
      <c r="C34" s="56">
        <f>SUMPRODUCT((个贷明细!$Q$8:$Q$666666&lt;设置!$J$23)*(个贷明细!$R$8:$R$666666&gt;设置!$H$24)*(个贷明细!$T$8:$T$666666=0)*(个贷明细!$N$8:$N$666666))+SUMPRODUCT((个贷明细!$Q$8:$Q$666666&lt;设置!$J$23)*(个贷明细!$R$8:$R$666666&gt;设置!$H$24)*(个贷明细!$T$8:$T$666666&gt;设置!$H$24)*(个贷明细!$N$8:$N$666666))+SUMPRODUCT((企贷明细!$Q$8:$Q$666666&lt;设置!$J$23)*(企贷明细!$R$8:$R$666666&gt;设置!$H$24)*(企贷明细!$T$8:$T$666666=0)*(企贷明细!$N$8:$N$666666))+SUMPRODUCT((企贷明细!$Q$8:$Q$666666&lt;设置!$J$23)*(企贷明细!$R$8:$R$666666&gt;设置!$H$24)*(企贷明细!$T$8:$T$666666&gt;设置!$H$24)*(企贷明细!$N$8:$N$666666))</f>
        <v>0</v>
      </c>
      <c r="D34" s="56">
        <f t="shared" ref="D34:D69" si="26">SUM(E34,I34)</f>
        <v>0</v>
      </c>
      <c r="E34" s="56">
        <f t="shared" ref="E34:E69" si="27">SUM(F34:H34)</f>
        <v>0</v>
      </c>
      <c r="F34" s="56">
        <f>个贷明细!$AU$7+企贷明细!$AY$7</f>
        <v>0</v>
      </c>
      <c r="G34" s="56">
        <f>个贷明细!$AV$7+企贷明细!$AZ$7</f>
        <v>0</v>
      </c>
      <c r="H34" s="56">
        <f>个贷明细!$AW$7+企贷明细!$BA$7</f>
        <v>0</v>
      </c>
      <c r="I34" s="56">
        <f t="shared" ref="I34:I69" si="28">SUM(J34:K34)</f>
        <v>0</v>
      </c>
      <c r="J34" s="56">
        <f>企贷明细!$BB$7</f>
        <v>0</v>
      </c>
      <c r="K34" s="56">
        <f>个贷明细!$AY$7+企贷明细!$BC$7+企贷明细!$BE$7</f>
        <v>0</v>
      </c>
      <c r="L34"/>
      <c r="M34"/>
      <c r="N34"/>
      <c r="O34"/>
      <c r="P34"/>
      <c r="Q34"/>
      <c r="R34"/>
      <c r="S34"/>
      <c r="T34"/>
      <c r="U34"/>
      <c r="V34"/>
      <c r="W34"/>
    </row>
    <row r="35" ht="14.25" spans="1:23">
      <c r="A35" s="68" t="str">
        <f>'1季统计'!A35</f>
        <v>工商银行</v>
      </c>
      <c r="B35" s="56">
        <f>SUMPRODUCT((个贷明细!$M$8:$M$666666=A35)*(个贷明细!$Q$8:$Q$666666&gt;=设置!$H$23)*(个贷明细!$Q$8:$Q$666666&lt;=设置!$H$24)*(个贷明细!$N$8:$N$666666))+SUMPRODUCT((企贷明细!$M$8:$M$666666=A35)*(企贷明细!$Q$8:$Q$666666&gt;=设置!$H$23)*(企贷明细!$Q$8:$Q$666666&lt;=设置!$H$24)*(企贷明细!$N$8:$N$666666))</f>
        <v>0</v>
      </c>
      <c r="C35" s="56">
        <f>SUMPRODUCT((个贷明细!$M$8:$M$666666=A35)*(个贷明细!$Q$8:$Q$666666&lt;设置!$J$23)*(个贷明细!$R$8:$R$666666&gt;设置!$H$24)*(个贷明细!$T$8:$T$666666=0)*(个贷明细!$N$8:$N$666666))+SUMPRODUCT((个贷明细!$M$8:$M$666666=A35)*(个贷明细!$Q$8:$Q$666666&lt;设置!$J$23)*(个贷明细!$R$8:$R$666666&gt;设置!$H$24)*(个贷明细!$T$8:$T$666666&gt;设置!$H$24)*(个贷明细!$N$8:$N$666666))+SUMPRODUCT((企贷明细!$M$8:$M$666666=A35)*(企贷明细!$Q$8:$Q$666666&lt;设置!$J$23)*(企贷明细!$R$8:$R$666666&gt;设置!$H$24)*(企贷明细!$T$8:$T$666666=0)*(企贷明细!$N$8:$N$666666))+SUMPRODUCT((企贷明细!$M$8:$M$666666=A35)*(企贷明细!$Q$8:$Q$666666&lt;设置!$J$23)*(企贷明细!$R$8:$R$666666&gt;设置!$H$24)*(企贷明细!$T$8:$T$666666&gt;设置!$H$24)*(企贷明细!$N$8:$N$666666))</f>
        <v>0</v>
      </c>
      <c r="D35" s="56">
        <f t="shared" si="26"/>
        <v>0</v>
      </c>
      <c r="E35" s="56">
        <f t="shared" si="27"/>
        <v>0</v>
      </c>
      <c r="F35" s="56">
        <f>SUMPRODUCT((个贷明细!$M$8:$M$666666=A35)*(个贷明细!$AU$8:$AU$666666))+SUMPRODUCT((企贷明细!$M$8:$M$666666=A35)*(企贷明细!$AY$8:$AY$666666))</f>
        <v>0</v>
      </c>
      <c r="G35" s="56">
        <f>SUMPRODUCT((个贷明细!$M$8:$M$666666=A35)*(个贷明细!$AV$8:$AV$666666))+SUMPRODUCT((企贷明细!$M$8:$M$666666=A35)*(企贷明细!$AZ$8:$AZ$666666))</f>
        <v>0</v>
      </c>
      <c r="H35" s="56">
        <f>SUMPRODUCT((个贷明细!$M$8:$M$666666=A35)*(个贷明细!$AW$8:$AW$666666))+SUMPRODUCT((企贷明细!$M$8:$M$666666=A35)*(企贷明细!$BA$8:$BA$666666))</f>
        <v>0</v>
      </c>
      <c r="I35" s="56">
        <f t="shared" si="28"/>
        <v>0</v>
      </c>
      <c r="J35" s="56">
        <f>SUMPRODUCT((企贷明细!$M$8:$M$666666=A35)*(企贷明细!$BB$8:$BB$666666))</f>
        <v>0</v>
      </c>
      <c r="K35" s="56">
        <f>SUMPRODUCT((个贷明细!$M$8:$M$666666=A35)*(个贷明细!$AY$8:$AY$666666))+SUMPRODUCT((企贷明细!$M$8:$M$666666=A35)*(企贷明细!$BC$8:$BC$666666))+SUMPRODUCT((企贷明细!$M$8:$M$666666=A35)*(企贷明细!$BE$8:$BE$666666))</f>
        <v>0</v>
      </c>
      <c r="L35"/>
      <c r="M35"/>
      <c r="N35"/>
      <c r="O35"/>
      <c r="P35"/>
      <c r="Q35"/>
      <c r="R35"/>
      <c r="S35"/>
      <c r="T35"/>
      <c r="U35"/>
      <c r="V35"/>
      <c r="W35"/>
    </row>
    <row r="36" ht="14.25" spans="1:23">
      <c r="A36" s="68" t="str">
        <f>'1季统计'!A36</f>
        <v>农业银行</v>
      </c>
      <c r="B36" s="56">
        <f>SUMPRODUCT((个贷明细!$M$8:$M$666666=A36)*(个贷明细!$Q$8:$Q$666666&gt;=设置!$H$23)*(个贷明细!$Q$8:$Q$666666&lt;=设置!$H$24)*(个贷明细!$N$8:$N$666666))+SUMPRODUCT((企贷明细!$M$8:$M$666666=A36)*(企贷明细!$Q$8:$Q$666666&gt;=设置!$H$23)*(企贷明细!$Q$8:$Q$666666&lt;=设置!$H$24)*(企贷明细!$N$8:$N$666666))</f>
        <v>0</v>
      </c>
      <c r="C36" s="56">
        <f>SUMPRODUCT((个贷明细!$M$8:$M$666666=A36)*(个贷明细!$Q$8:$Q$666666&lt;设置!$J$23)*(个贷明细!$R$8:$R$666666&gt;设置!$H$24)*(个贷明细!$T$8:$T$666666=0)*(个贷明细!$N$8:$N$666666))+SUMPRODUCT((个贷明细!$M$8:$M$666666=A36)*(个贷明细!$Q$8:$Q$666666&lt;设置!$J$23)*(个贷明细!$R$8:$R$666666&gt;设置!$H$24)*(个贷明细!$T$8:$T$666666&gt;设置!$H$24)*(个贷明细!$N$8:$N$666666))+SUMPRODUCT((企贷明细!$M$8:$M$666666=A36)*(企贷明细!$Q$8:$Q$666666&lt;设置!$J$23)*(企贷明细!$R$8:$R$666666&gt;设置!$H$24)*(企贷明细!$T$8:$T$666666=0)*(企贷明细!$N$8:$N$666666))+SUMPRODUCT((企贷明细!$M$8:$M$666666=A36)*(企贷明细!$Q$8:$Q$666666&lt;设置!$J$23)*(企贷明细!$R$8:$R$666666&gt;设置!$H$24)*(企贷明细!$T$8:$T$666666&gt;设置!$H$24)*(企贷明细!$N$8:$N$666666))</f>
        <v>0</v>
      </c>
      <c r="D36" s="56">
        <f t="shared" si="26"/>
        <v>0</v>
      </c>
      <c r="E36" s="56">
        <f t="shared" si="27"/>
        <v>0</v>
      </c>
      <c r="F36" s="56">
        <f>SUMPRODUCT((个贷明细!$M$8:$M$666666=A36)*(个贷明细!$AU$8:$AU$666666))+SUMPRODUCT((企贷明细!$M$8:$M$666666=A36)*(企贷明细!$AY$8:$AY$666666))</f>
        <v>0</v>
      </c>
      <c r="G36" s="56">
        <f>SUMPRODUCT((个贷明细!$M$8:$M$666666=A36)*(个贷明细!$AV$8:$AV$666666))+SUMPRODUCT((企贷明细!$M$8:$M$666666=A36)*(企贷明细!$AZ$8:$AZ$666666))</f>
        <v>0</v>
      </c>
      <c r="H36" s="56">
        <f>SUMPRODUCT((个贷明细!$M$8:$M$666666=A36)*(个贷明细!$AW$8:$AW$666666))+SUMPRODUCT((企贷明细!$M$8:$M$666666=A36)*(企贷明细!$BA$8:$BA$666666))</f>
        <v>0</v>
      </c>
      <c r="I36" s="56">
        <f t="shared" si="28"/>
        <v>0</v>
      </c>
      <c r="J36" s="56">
        <f>SUMPRODUCT((企贷明细!$M$8:$M$666666=A36)*(企贷明细!$BB$8:$BB$666666))</f>
        <v>0</v>
      </c>
      <c r="K36" s="56">
        <f>SUMPRODUCT((个贷明细!$M$8:$M$666666=A36)*(个贷明细!$AY$8:$AY$666666))+SUMPRODUCT((企贷明细!$M$8:$M$666666=A36)*(企贷明细!$BC$8:$BC$666666))+SUMPRODUCT((企贷明细!$M$8:$M$666666=A36)*(企贷明细!$BE$8:$BE$666666))</f>
        <v>0</v>
      </c>
      <c r="L36"/>
      <c r="M36"/>
      <c r="N36"/>
      <c r="O36"/>
      <c r="P36"/>
      <c r="Q36"/>
      <c r="R36"/>
      <c r="S36"/>
      <c r="T36"/>
      <c r="U36"/>
      <c r="V36"/>
      <c r="W36"/>
    </row>
    <row r="37" ht="14.25" spans="1:23">
      <c r="A37" s="68" t="str">
        <f>'1季统计'!A37</f>
        <v>中国银行</v>
      </c>
      <c r="B37" s="56">
        <f>SUMPRODUCT((个贷明细!$M$8:$M$666666=A37)*(个贷明细!$Q$8:$Q$666666&gt;=设置!$H$23)*(个贷明细!$Q$8:$Q$666666&lt;=设置!$H$24)*(个贷明细!$N$8:$N$666666))+SUMPRODUCT((企贷明细!$M$8:$M$666666=A37)*(企贷明细!$Q$8:$Q$666666&gt;=设置!$H$23)*(企贷明细!$Q$8:$Q$666666&lt;=设置!$H$24)*(企贷明细!$N$8:$N$666666))</f>
        <v>0</v>
      </c>
      <c r="C37" s="56">
        <f>SUMPRODUCT((个贷明细!$M$8:$M$666666=A37)*(个贷明细!$Q$8:$Q$666666&lt;设置!$J$23)*(个贷明细!$R$8:$R$666666&gt;设置!$H$24)*(个贷明细!$T$8:$T$666666=0)*(个贷明细!$N$8:$N$666666))+SUMPRODUCT((个贷明细!$M$8:$M$666666=A37)*(个贷明细!$Q$8:$Q$666666&lt;设置!$J$23)*(个贷明细!$R$8:$R$666666&gt;设置!$H$24)*(个贷明细!$T$8:$T$666666&gt;设置!$H$24)*(个贷明细!$N$8:$N$666666))+SUMPRODUCT((企贷明细!$M$8:$M$666666=A37)*(企贷明细!$Q$8:$Q$666666&lt;设置!$J$23)*(企贷明细!$R$8:$R$666666&gt;设置!$H$24)*(企贷明细!$T$8:$T$666666=0)*(企贷明细!$N$8:$N$666666))+SUMPRODUCT((企贷明细!$M$8:$M$666666=A37)*(企贷明细!$Q$8:$Q$666666&lt;设置!$J$23)*(企贷明细!$R$8:$R$666666&gt;设置!$H$24)*(企贷明细!$T$8:$T$666666&gt;设置!$H$24)*(企贷明细!$N$8:$N$666666))</f>
        <v>0</v>
      </c>
      <c r="D37" s="56">
        <f t="shared" si="26"/>
        <v>0</v>
      </c>
      <c r="E37" s="56">
        <f t="shared" si="27"/>
        <v>0</v>
      </c>
      <c r="F37" s="56">
        <f>SUMPRODUCT((个贷明细!$M$8:$M$666666=A37)*(个贷明细!$AU$8:$AU$666666))+SUMPRODUCT((企贷明细!$M$8:$M$666666=A37)*(企贷明细!$AY$8:$AY$666666))</f>
        <v>0</v>
      </c>
      <c r="G37" s="56">
        <f>SUMPRODUCT((个贷明细!$M$8:$M$666666=A37)*(个贷明细!$AV$8:$AV$666666))+SUMPRODUCT((企贷明细!$M$8:$M$666666=A37)*(企贷明细!$AZ$8:$AZ$666666))</f>
        <v>0</v>
      </c>
      <c r="H37" s="56">
        <f>SUMPRODUCT((个贷明细!$M$8:$M$666666=A37)*(个贷明细!$AW$8:$AW$666666))+SUMPRODUCT((企贷明细!$M$8:$M$666666=A37)*(企贷明细!$BA$8:$BA$666666))</f>
        <v>0</v>
      </c>
      <c r="I37" s="56">
        <f t="shared" si="28"/>
        <v>0</v>
      </c>
      <c r="J37" s="56">
        <f>SUMPRODUCT((企贷明细!$M$8:$M$666666=A37)*(企贷明细!$BB$8:$BB$666666))</f>
        <v>0</v>
      </c>
      <c r="K37" s="56">
        <f>SUMPRODUCT((个贷明细!$M$8:$M$666666=A37)*(个贷明细!$AY$8:$AY$666666))+SUMPRODUCT((企贷明细!$M$8:$M$666666=A37)*(企贷明细!$BC$8:$BC$666666))+SUMPRODUCT((企贷明细!$M$8:$M$666666=A37)*(企贷明细!$BE$8:$BE$666666))</f>
        <v>0</v>
      </c>
      <c r="L37"/>
      <c r="M37"/>
      <c r="N37"/>
      <c r="O37"/>
      <c r="P37"/>
      <c r="Q37"/>
      <c r="R37"/>
      <c r="S37"/>
      <c r="T37"/>
      <c r="U37"/>
      <c r="V37"/>
      <c r="W37"/>
    </row>
    <row r="38" ht="14.25" spans="1:23">
      <c r="A38" s="68" t="str">
        <f>'1季统计'!A38</f>
        <v>建设银行</v>
      </c>
      <c r="B38" s="56">
        <f>SUMPRODUCT((个贷明细!$M$8:$M$666666=A38)*(个贷明细!$Q$8:$Q$666666&gt;=设置!$H$23)*(个贷明细!$Q$8:$Q$666666&lt;=设置!$H$24)*(个贷明细!$N$8:$N$666666))+SUMPRODUCT((企贷明细!$M$8:$M$666666=A38)*(企贷明细!$Q$8:$Q$666666&gt;=设置!$H$23)*(企贷明细!$Q$8:$Q$666666&lt;=设置!$H$24)*(企贷明细!$N$8:$N$666666))</f>
        <v>0</v>
      </c>
      <c r="C38" s="56">
        <f>SUMPRODUCT((个贷明细!$M$8:$M$666666=A38)*(个贷明细!$Q$8:$Q$666666&lt;设置!$J$23)*(个贷明细!$R$8:$R$666666&gt;设置!$H$24)*(个贷明细!$T$8:$T$666666=0)*(个贷明细!$N$8:$N$666666))+SUMPRODUCT((个贷明细!$M$8:$M$666666=A38)*(个贷明细!$Q$8:$Q$666666&lt;设置!$J$23)*(个贷明细!$R$8:$R$666666&gt;设置!$H$24)*(个贷明细!$T$8:$T$666666&gt;设置!$H$24)*(个贷明细!$N$8:$N$666666))+SUMPRODUCT((企贷明细!$M$8:$M$666666=A38)*(企贷明细!$Q$8:$Q$666666&lt;设置!$J$23)*(企贷明细!$R$8:$R$666666&gt;设置!$H$24)*(企贷明细!$T$8:$T$666666=0)*(企贷明细!$N$8:$N$666666))+SUMPRODUCT((企贷明细!$M$8:$M$666666=A38)*(企贷明细!$Q$8:$Q$666666&lt;设置!$J$23)*(企贷明细!$R$8:$R$666666&gt;设置!$H$24)*(企贷明细!$T$8:$T$666666&gt;设置!$H$24)*(企贷明细!$N$8:$N$666666))</f>
        <v>0</v>
      </c>
      <c r="D38" s="56">
        <f t="shared" si="26"/>
        <v>0</v>
      </c>
      <c r="E38" s="56">
        <f t="shared" si="27"/>
        <v>0</v>
      </c>
      <c r="F38" s="56">
        <f>SUMPRODUCT((个贷明细!$M$8:$M$666666=A38)*(个贷明细!$AU$8:$AU$666666))+SUMPRODUCT((企贷明细!$M$8:$M$666666=A38)*(企贷明细!$AY$8:$AY$666666))</f>
        <v>0</v>
      </c>
      <c r="G38" s="56">
        <f>SUMPRODUCT((个贷明细!$M$8:$M$666666=A38)*(个贷明细!$AV$8:$AV$666666))+SUMPRODUCT((企贷明细!$M$8:$M$666666=A38)*(企贷明细!$AZ$8:$AZ$666666))</f>
        <v>0</v>
      </c>
      <c r="H38" s="56">
        <f>SUMPRODUCT((个贷明细!$M$8:$M$666666=A38)*(个贷明细!$AW$8:$AW$666666))+SUMPRODUCT((企贷明细!$M$8:$M$666666=A38)*(企贷明细!$BA$8:$BA$666666))</f>
        <v>0</v>
      </c>
      <c r="I38" s="56">
        <f t="shared" si="28"/>
        <v>0</v>
      </c>
      <c r="J38" s="56">
        <f>SUMPRODUCT((企贷明细!$M$8:$M$666666=A38)*(企贷明细!$BB$8:$BB$666666))</f>
        <v>0</v>
      </c>
      <c r="K38" s="56">
        <f>SUMPRODUCT((个贷明细!$M$8:$M$666666=A38)*(个贷明细!$AY$8:$AY$666666))+SUMPRODUCT((企贷明细!$M$8:$M$666666=A38)*(企贷明细!$BC$8:$BC$666666))+SUMPRODUCT((企贷明细!$M$8:$M$666666=A38)*(企贷明细!$BE$8:$BE$666666))</f>
        <v>0</v>
      </c>
      <c r="L38"/>
      <c r="M38"/>
      <c r="N38"/>
      <c r="O38"/>
      <c r="P38"/>
      <c r="Q38"/>
      <c r="R38"/>
      <c r="S38"/>
      <c r="T38"/>
      <c r="U38"/>
      <c r="V38"/>
      <c r="W38"/>
    </row>
    <row r="39" ht="14.25" spans="1:23">
      <c r="A39" s="68" t="str">
        <f>'1季统计'!A39</f>
        <v>交通银行</v>
      </c>
      <c r="B39" s="56">
        <f>SUMPRODUCT((个贷明细!$M$8:$M$666666=A39)*(个贷明细!$Q$8:$Q$666666&gt;=设置!$H$23)*(个贷明细!$Q$8:$Q$666666&lt;=设置!$H$24)*(个贷明细!$N$8:$N$666666))+SUMPRODUCT((企贷明细!$M$8:$M$666666=A39)*(企贷明细!$Q$8:$Q$666666&gt;=设置!$H$23)*(企贷明细!$Q$8:$Q$666666&lt;=设置!$H$24)*(企贷明细!$N$8:$N$666666))</f>
        <v>0</v>
      </c>
      <c r="C39" s="56">
        <f>SUMPRODUCT((个贷明细!$M$8:$M$666666=A39)*(个贷明细!$Q$8:$Q$666666&lt;设置!$J$23)*(个贷明细!$R$8:$R$666666&gt;设置!$H$24)*(个贷明细!$T$8:$T$666666=0)*(个贷明细!$N$8:$N$666666))+SUMPRODUCT((个贷明细!$M$8:$M$666666=A39)*(个贷明细!$Q$8:$Q$666666&lt;设置!$J$23)*(个贷明细!$R$8:$R$666666&gt;设置!$H$24)*(个贷明细!$T$8:$T$666666&gt;设置!$H$24)*(个贷明细!$N$8:$N$666666))+SUMPRODUCT((企贷明细!$M$8:$M$666666=A39)*(企贷明细!$Q$8:$Q$666666&lt;设置!$J$23)*(企贷明细!$R$8:$R$666666&gt;设置!$H$24)*(企贷明细!$T$8:$T$666666=0)*(企贷明细!$N$8:$N$666666))+SUMPRODUCT((企贷明细!$M$8:$M$666666=A39)*(企贷明细!$Q$8:$Q$666666&lt;设置!$J$23)*(企贷明细!$R$8:$R$666666&gt;设置!$H$24)*(企贷明细!$T$8:$T$666666&gt;设置!$H$24)*(企贷明细!$N$8:$N$666666))</f>
        <v>0</v>
      </c>
      <c r="D39" s="56">
        <f t="shared" si="26"/>
        <v>0</v>
      </c>
      <c r="E39" s="56">
        <f t="shared" si="27"/>
        <v>0</v>
      </c>
      <c r="F39" s="56">
        <f>SUMPRODUCT((个贷明细!$M$8:$M$666666=A39)*(个贷明细!$AU$8:$AU$666666))+SUMPRODUCT((企贷明细!$M$8:$M$666666=A39)*(企贷明细!$AY$8:$AY$666666))</f>
        <v>0</v>
      </c>
      <c r="G39" s="56">
        <f>SUMPRODUCT((个贷明细!$M$8:$M$666666=A39)*(个贷明细!$AV$8:$AV$666666))+SUMPRODUCT((企贷明细!$M$8:$M$666666=A39)*(企贷明细!$AZ$8:$AZ$666666))</f>
        <v>0</v>
      </c>
      <c r="H39" s="56">
        <f>SUMPRODUCT((个贷明细!$M$8:$M$666666=A39)*(个贷明细!$AW$8:$AW$666666))+SUMPRODUCT((企贷明细!$M$8:$M$666666=A39)*(企贷明细!$BA$8:$BA$666666))</f>
        <v>0</v>
      </c>
      <c r="I39" s="56">
        <f t="shared" si="28"/>
        <v>0</v>
      </c>
      <c r="J39" s="56">
        <f>SUMPRODUCT((企贷明细!$M$8:$M$666666=A39)*(企贷明细!$BB$8:$BB$666666))</f>
        <v>0</v>
      </c>
      <c r="K39" s="56">
        <f>SUMPRODUCT((个贷明细!$M$8:$M$666666=A39)*(个贷明细!$AY$8:$AY$666666))+SUMPRODUCT((企贷明细!$M$8:$M$666666=A39)*(企贷明细!$BC$8:$BC$666666))+SUMPRODUCT((企贷明细!$M$8:$M$666666=A39)*(企贷明细!$BE$8:$BE$666666))</f>
        <v>0</v>
      </c>
      <c r="L39"/>
      <c r="M39"/>
      <c r="N39"/>
      <c r="O39"/>
      <c r="P39"/>
      <c r="Q39"/>
      <c r="R39"/>
      <c r="S39"/>
      <c r="T39"/>
      <c r="U39"/>
      <c r="V39"/>
      <c r="W39"/>
    </row>
    <row r="40" ht="14.25" spans="1:23">
      <c r="A40" s="68" t="str">
        <f>'1季统计'!A40</f>
        <v>邮储银行</v>
      </c>
      <c r="B40" s="56">
        <f>SUMPRODUCT((个贷明细!$M$8:$M$666666=A40)*(个贷明细!$Q$8:$Q$666666&gt;=设置!$H$23)*(个贷明细!$Q$8:$Q$666666&lt;=设置!$H$24)*(个贷明细!$N$8:$N$666666))+SUMPRODUCT((企贷明细!$M$8:$M$666666=A40)*(企贷明细!$Q$8:$Q$666666&gt;=设置!$H$23)*(企贷明细!$Q$8:$Q$666666&lt;=设置!$H$24)*(企贷明细!$N$8:$N$666666))</f>
        <v>0</v>
      </c>
      <c r="C40" s="56">
        <f>SUMPRODUCT((个贷明细!$M$8:$M$666666=A40)*(个贷明细!$Q$8:$Q$666666&lt;设置!$J$23)*(个贷明细!$R$8:$R$666666&gt;设置!$H$24)*(个贷明细!$T$8:$T$666666=0)*(个贷明细!$N$8:$N$666666))+SUMPRODUCT((个贷明细!$M$8:$M$666666=A40)*(个贷明细!$Q$8:$Q$666666&lt;设置!$J$23)*(个贷明细!$R$8:$R$666666&gt;设置!$H$24)*(个贷明细!$T$8:$T$666666&gt;设置!$H$24)*(个贷明细!$N$8:$N$666666))+SUMPRODUCT((企贷明细!$M$8:$M$666666=A40)*(企贷明细!$Q$8:$Q$666666&lt;设置!$J$23)*(企贷明细!$R$8:$R$666666&gt;设置!$H$24)*(企贷明细!$T$8:$T$666666=0)*(企贷明细!$N$8:$N$666666))+SUMPRODUCT((企贷明细!$M$8:$M$666666=A40)*(企贷明细!$Q$8:$Q$666666&lt;设置!$J$23)*(企贷明细!$R$8:$R$666666&gt;设置!$H$24)*(企贷明细!$T$8:$T$666666&gt;设置!$H$24)*(企贷明细!$N$8:$N$666666))</f>
        <v>0</v>
      </c>
      <c r="D40" s="56">
        <f t="shared" si="26"/>
        <v>0</v>
      </c>
      <c r="E40" s="56">
        <f t="shared" si="27"/>
        <v>0</v>
      </c>
      <c r="F40" s="56">
        <f>SUMPRODUCT((个贷明细!$M$8:$M$666666=A40)*(个贷明细!$AU$8:$AU$666666))+SUMPRODUCT((企贷明细!$M$8:$M$666666=A40)*(企贷明细!$AY$8:$AY$666666))</f>
        <v>0</v>
      </c>
      <c r="G40" s="56">
        <f>SUMPRODUCT((个贷明细!$M$8:$M$666666=A40)*(个贷明细!$AV$8:$AV$666666))+SUMPRODUCT((企贷明细!$M$8:$M$666666=A40)*(企贷明细!$AZ$8:$AZ$666666))</f>
        <v>0</v>
      </c>
      <c r="H40" s="56">
        <f>SUMPRODUCT((个贷明细!$M$8:$M$666666=A40)*(个贷明细!$AW$8:$AW$666666))+SUMPRODUCT((企贷明细!$M$8:$M$666666=A40)*(企贷明细!$BA$8:$BA$666666))</f>
        <v>0</v>
      </c>
      <c r="I40" s="56">
        <f t="shared" si="28"/>
        <v>0</v>
      </c>
      <c r="J40" s="56">
        <f>SUMPRODUCT((企贷明细!$M$8:$M$666666=A40)*(企贷明细!$BB$8:$BB$666666))</f>
        <v>0</v>
      </c>
      <c r="K40" s="56">
        <f>SUMPRODUCT((个贷明细!$M$8:$M$666666=A40)*(个贷明细!$AY$8:$AY$666666))+SUMPRODUCT((企贷明细!$M$8:$M$666666=A40)*(企贷明细!$BC$8:$BC$666666))+SUMPRODUCT((企贷明细!$M$8:$M$666666=A40)*(企贷明细!$BE$8:$BE$666666))</f>
        <v>0</v>
      </c>
      <c r="L40"/>
      <c r="M40"/>
      <c r="N40"/>
      <c r="O40"/>
      <c r="P40"/>
      <c r="Q40"/>
      <c r="R40"/>
      <c r="S40"/>
      <c r="T40"/>
      <c r="U40"/>
      <c r="V40"/>
      <c r="W40"/>
    </row>
    <row r="41" ht="14.25" spans="1:23">
      <c r="A41" s="68" t="str">
        <f>'1季统计'!A41</f>
        <v>招商银行</v>
      </c>
      <c r="B41" s="56">
        <f>SUMPRODUCT((个贷明细!$M$8:$M$666666=A41)*(个贷明细!$Q$8:$Q$666666&gt;=设置!$H$23)*(个贷明细!$Q$8:$Q$666666&lt;=设置!$H$24)*(个贷明细!$N$8:$N$666666))+SUMPRODUCT((企贷明细!$M$8:$M$666666=A41)*(企贷明细!$Q$8:$Q$666666&gt;=设置!$H$23)*(企贷明细!$Q$8:$Q$666666&lt;=设置!$H$24)*(企贷明细!$N$8:$N$666666))</f>
        <v>0</v>
      </c>
      <c r="C41" s="56">
        <f>SUMPRODUCT((个贷明细!$M$8:$M$666666=A41)*(个贷明细!$Q$8:$Q$666666&lt;设置!$J$23)*(个贷明细!$R$8:$R$666666&gt;设置!$H$24)*(个贷明细!$T$8:$T$666666=0)*(个贷明细!$N$8:$N$666666))+SUMPRODUCT((个贷明细!$M$8:$M$666666=A41)*(个贷明细!$Q$8:$Q$666666&lt;设置!$J$23)*(个贷明细!$R$8:$R$666666&gt;设置!$H$24)*(个贷明细!$T$8:$T$666666&gt;设置!$H$24)*(个贷明细!$N$8:$N$666666))+SUMPRODUCT((企贷明细!$M$8:$M$666666=A41)*(企贷明细!$Q$8:$Q$666666&lt;设置!$J$23)*(企贷明细!$R$8:$R$666666&gt;设置!$H$24)*(企贷明细!$T$8:$T$666666=0)*(企贷明细!$N$8:$N$666666))+SUMPRODUCT((企贷明细!$M$8:$M$666666=A41)*(企贷明细!$Q$8:$Q$666666&lt;设置!$J$23)*(企贷明细!$R$8:$R$666666&gt;设置!$H$24)*(企贷明细!$T$8:$T$666666&gt;设置!$H$24)*(企贷明细!$N$8:$N$666666))</f>
        <v>0</v>
      </c>
      <c r="D41" s="56">
        <f t="shared" si="26"/>
        <v>0</v>
      </c>
      <c r="E41" s="56">
        <f t="shared" si="27"/>
        <v>0</v>
      </c>
      <c r="F41" s="56">
        <f>SUMPRODUCT((个贷明细!$M$8:$M$666666=A41)*(个贷明细!$AU$8:$AU$666666))+SUMPRODUCT((企贷明细!$M$8:$M$666666=A41)*(企贷明细!$AY$8:$AY$666666))</f>
        <v>0</v>
      </c>
      <c r="G41" s="56">
        <f>SUMPRODUCT((个贷明细!$M$8:$M$666666=A41)*(个贷明细!$AV$8:$AV$666666))+SUMPRODUCT((企贷明细!$M$8:$M$666666=A41)*(企贷明细!$AZ$8:$AZ$666666))</f>
        <v>0</v>
      </c>
      <c r="H41" s="56">
        <f>SUMPRODUCT((个贷明细!$M$8:$M$666666=A41)*(个贷明细!$AW$8:$AW$666666))+SUMPRODUCT((企贷明细!$M$8:$M$666666=A41)*(企贷明细!$BA$8:$BA$666666))</f>
        <v>0</v>
      </c>
      <c r="I41" s="56">
        <f t="shared" si="28"/>
        <v>0</v>
      </c>
      <c r="J41" s="56">
        <f>SUMPRODUCT((企贷明细!$M$8:$M$666666=A41)*(企贷明细!$BB$8:$BB$666666))</f>
        <v>0</v>
      </c>
      <c r="K41" s="56">
        <f>SUMPRODUCT((个贷明细!$M$8:$M$666666=A41)*(个贷明细!$AY$8:$AY$666666))+SUMPRODUCT((企贷明细!$M$8:$M$666666=A41)*(企贷明细!$BC$8:$BC$666666))+SUMPRODUCT((企贷明细!$M$8:$M$666666=A41)*(企贷明细!$BE$8:$BE$666666))</f>
        <v>0</v>
      </c>
      <c r="L41"/>
      <c r="M41"/>
      <c r="N41"/>
      <c r="O41"/>
      <c r="P41"/>
      <c r="Q41"/>
      <c r="R41"/>
      <c r="S41"/>
      <c r="T41"/>
      <c r="U41"/>
      <c r="V41"/>
      <c r="W41"/>
    </row>
    <row r="42" ht="14.25" spans="1:23">
      <c r="A42" s="68" t="str">
        <f>'1季统计'!A42</f>
        <v>中信银行</v>
      </c>
      <c r="B42" s="56">
        <f>SUMPRODUCT((个贷明细!$M$8:$M$666666=A42)*(个贷明细!$Q$8:$Q$666666&gt;=设置!$H$23)*(个贷明细!$Q$8:$Q$666666&lt;=设置!$H$24)*(个贷明细!$N$8:$N$666666))+SUMPRODUCT((企贷明细!$M$8:$M$666666=A42)*(企贷明细!$Q$8:$Q$666666&gt;=设置!$H$23)*(企贷明细!$Q$8:$Q$666666&lt;=设置!$H$24)*(企贷明细!$N$8:$N$666666))</f>
        <v>0</v>
      </c>
      <c r="C42" s="56">
        <f>SUMPRODUCT((个贷明细!$M$8:$M$666666=A42)*(个贷明细!$Q$8:$Q$666666&lt;设置!$J$23)*(个贷明细!$R$8:$R$666666&gt;设置!$H$24)*(个贷明细!$T$8:$T$666666=0)*(个贷明细!$N$8:$N$666666))+SUMPRODUCT((个贷明细!$M$8:$M$666666=A42)*(个贷明细!$Q$8:$Q$666666&lt;设置!$J$23)*(个贷明细!$R$8:$R$666666&gt;设置!$H$24)*(个贷明细!$T$8:$T$666666&gt;设置!$H$24)*(个贷明细!$N$8:$N$666666))+SUMPRODUCT((企贷明细!$M$8:$M$666666=A42)*(企贷明细!$Q$8:$Q$666666&lt;设置!$J$23)*(企贷明细!$R$8:$R$666666&gt;设置!$H$24)*(企贷明细!$T$8:$T$666666=0)*(企贷明细!$N$8:$N$666666))+SUMPRODUCT((企贷明细!$M$8:$M$666666=A42)*(企贷明细!$Q$8:$Q$666666&lt;设置!$J$23)*(企贷明细!$R$8:$R$666666&gt;设置!$H$24)*(企贷明细!$T$8:$T$666666&gt;设置!$H$24)*(企贷明细!$N$8:$N$666666))</f>
        <v>0</v>
      </c>
      <c r="D42" s="56">
        <f t="shared" si="26"/>
        <v>0</v>
      </c>
      <c r="E42" s="56">
        <f t="shared" si="27"/>
        <v>0</v>
      </c>
      <c r="F42" s="56">
        <f>SUMPRODUCT((个贷明细!$M$8:$M$666666=A42)*(个贷明细!$AU$8:$AU$666666))+SUMPRODUCT((企贷明细!$M$8:$M$666666=A42)*(企贷明细!$AY$8:$AY$666666))</f>
        <v>0</v>
      </c>
      <c r="G42" s="56">
        <f>SUMPRODUCT((个贷明细!$M$8:$M$666666=A42)*(个贷明细!$AV$8:$AV$666666))+SUMPRODUCT((企贷明细!$M$8:$M$666666=A42)*(企贷明细!$AZ$8:$AZ$666666))</f>
        <v>0</v>
      </c>
      <c r="H42" s="56">
        <f>SUMPRODUCT((个贷明细!$M$8:$M$666666=A42)*(个贷明细!$AW$8:$AW$666666))+SUMPRODUCT((企贷明细!$M$8:$M$666666=A42)*(企贷明细!$BA$8:$BA$666666))</f>
        <v>0</v>
      </c>
      <c r="I42" s="56">
        <f t="shared" si="28"/>
        <v>0</v>
      </c>
      <c r="J42" s="56">
        <f>SUMPRODUCT((企贷明细!$M$8:$M$666666=A42)*(企贷明细!$BB$8:$BB$666666))</f>
        <v>0</v>
      </c>
      <c r="K42" s="56">
        <f>SUMPRODUCT((个贷明细!$M$8:$M$666666=A42)*(个贷明细!$AY$8:$AY$666666))+SUMPRODUCT((企贷明细!$M$8:$M$666666=A42)*(企贷明细!$BC$8:$BC$666666))+SUMPRODUCT((企贷明细!$M$8:$M$666666=A42)*(企贷明细!$BE$8:$BE$666666))</f>
        <v>0</v>
      </c>
      <c r="L42"/>
      <c r="M42"/>
      <c r="N42"/>
      <c r="O42"/>
      <c r="P42"/>
      <c r="Q42"/>
      <c r="R42"/>
      <c r="S42"/>
      <c r="T42"/>
      <c r="U42"/>
      <c r="V42"/>
      <c r="W42"/>
    </row>
    <row r="43" ht="14.25" spans="1:23">
      <c r="A43" s="68" t="str">
        <f>'1季统计'!A43</f>
        <v>光大银行</v>
      </c>
      <c r="B43" s="56">
        <f>SUMPRODUCT((个贷明细!$M$8:$M$666666=A43)*(个贷明细!$Q$8:$Q$666666&gt;=设置!$H$23)*(个贷明细!$Q$8:$Q$666666&lt;=设置!$H$24)*(个贷明细!$N$8:$N$666666))+SUMPRODUCT((企贷明细!$M$8:$M$666666=A43)*(企贷明细!$Q$8:$Q$666666&gt;=设置!$H$23)*(企贷明细!$Q$8:$Q$666666&lt;=设置!$H$24)*(企贷明细!$N$8:$N$666666))</f>
        <v>0</v>
      </c>
      <c r="C43" s="56">
        <f>SUMPRODUCT((个贷明细!$M$8:$M$666666=A43)*(个贷明细!$Q$8:$Q$666666&lt;设置!$J$23)*(个贷明细!$R$8:$R$666666&gt;设置!$H$24)*(个贷明细!$T$8:$T$666666=0)*(个贷明细!$N$8:$N$666666))+SUMPRODUCT((个贷明细!$M$8:$M$666666=A43)*(个贷明细!$Q$8:$Q$666666&lt;设置!$J$23)*(个贷明细!$R$8:$R$666666&gt;设置!$H$24)*(个贷明细!$T$8:$T$666666&gt;设置!$H$24)*(个贷明细!$N$8:$N$666666))+SUMPRODUCT((企贷明细!$M$8:$M$666666=A43)*(企贷明细!$Q$8:$Q$666666&lt;设置!$J$23)*(企贷明细!$R$8:$R$666666&gt;设置!$H$24)*(企贷明细!$T$8:$T$666666=0)*(企贷明细!$N$8:$N$666666))+SUMPRODUCT((企贷明细!$M$8:$M$666666=A43)*(企贷明细!$Q$8:$Q$666666&lt;设置!$J$23)*(企贷明细!$R$8:$R$666666&gt;设置!$H$24)*(企贷明细!$T$8:$T$666666&gt;设置!$H$24)*(企贷明细!$N$8:$N$666666))</f>
        <v>0</v>
      </c>
      <c r="D43" s="56">
        <f t="shared" si="26"/>
        <v>0</v>
      </c>
      <c r="E43" s="56">
        <f t="shared" si="27"/>
        <v>0</v>
      </c>
      <c r="F43" s="56">
        <f>SUMPRODUCT((个贷明细!$M$8:$M$666666=A43)*(个贷明细!$AU$8:$AU$666666))+SUMPRODUCT((企贷明细!$M$8:$M$666666=A43)*(企贷明细!$AY$8:$AY$666666))</f>
        <v>0</v>
      </c>
      <c r="G43" s="56">
        <f>SUMPRODUCT((个贷明细!$M$8:$M$666666=A43)*(个贷明细!$AV$8:$AV$666666))+SUMPRODUCT((企贷明细!$M$8:$M$666666=A43)*(企贷明细!$AZ$8:$AZ$666666))</f>
        <v>0</v>
      </c>
      <c r="H43" s="56">
        <f>SUMPRODUCT((个贷明细!$M$8:$M$666666=A43)*(个贷明细!$AW$8:$AW$666666))+SUMPRODUCT((企贷明细!$M$8:$M$666666=A43)*(企贷明细!$BA$8:$BA$666666))</f>
        <v>0</v>
      </c>
      <c r="I43" s="56">
        <f t="shared" si="28"/>
        <v>0</v>
      </c>
      <c r="J43" s="56">
        <f>SUMPRODUCT((企贷明细!$M$8:$M$666666=A43)*(企贷明细!$BB$8:$BB$666666))</f>
        <v>0</v>
      </c>
      <c r="K43" s="56">
        <f>SUMPRODUCT((个贷明细!$M$8:$M$666666=A43)*(个贷明细!$AY$8:$AY$666666))+SUMPRODUCT((企贷明细!$M$8:$M$666666=A43)*(企贷明细!$BC$8:$BC$666666))+SUMPRODUCT((企贷明细!$M$8:$M$666666=A43)*(企贷明细!$BE$8:$BE$666666))</f>
        <v>0</v>
      </c>
      <c r="L43"/>
      <c r="M43"/>
      <c r="N43"/>
      <c r="O43"/>
      <c r="P43"/>
      <c r="Q43"/>
      <c r="R43"/>
      <c r="S43"/>
      <c r="T43"/>
      <c r="U43"/>
      <c r="V43"/>
      <c r="W43"/>
    </row>
    <row r="44" ht="14.25" spans="1:23">
      <c r="A44" s="68" t="str">
        <f>'1季统计'!A44</f>
        <v>华夏银行</v>
      </c>
      <c r="B44" s="56">
        <f>SUMPRODUCT((个贷明细!$M$8:$M$666666=A44)*(个贷明细!$Q$8:$Q$666666&gt;=设置!$H$23)*(个贷明细!$Q$8:$Q$666666&lt;=设置!$H$24)*(个贷明细!$N$8:$N$666666))+SUMPRODUCT((企贷明细!$M$8:$M$666666=A44)*(企贷明细!$Q$8:$Q$666666&gt;=设置!$H$23)*(企贷明细!$Q$8:$Q$666666&lt;=设置!$H$24)*(企贷明细!$N$8:$N$666666))</f>
        <v>0</v>
      </c>
      <c r="C44" s="56">
        <f>SUMPRODUCT((个贷明细!$M$8:$M$666666=A44)*(个贷明细!$Q$8:$Q$666666&lt;设置!$J$23)*(个贷明细!$R$8:$R$666666&gt;设置!$H$24)*(个贷明细!$T$8:$T$666666=0)*(个贷明细!$N$8:$N$666666))+SUMPRODUCT((个贷明细!$M$8:$M$666666=A44)*(个贷明细!$Q$8:$Q$666666&lt;设置!$J$23)*(个贷明细!$R$8:$R$666666&gt;设置!$H$24)*(个贷明细!$T$8:$T$666666&gt;设置!$H$24)*(个贷明细!$N$8:$N$666666))+SUMPRODUCT((企贷明细!$M$8:$M$666666=A44)*(企贷明细!$Q$8:$Q$666666&lt;设置!$J$23)*(企贷明细!$R$8:$R$666666&gt;设置!$H$24)*(企贷明细!$T$8:$T$666666=0)*(企贷明细!$N$8:$N$666666))+SUMPRODUCT((企贷明细!$M$8:$M$666666=A44)*(企贷明细!$Q$8:$Q$666666&lt;设置!$J$23)*(企贷明细!$R$8:$R$666666&gt;设置!$H$24)*(企贷明细!$T$8:$T$666666&gt;设置!$H$24)*(企贷明细!$N$8:$N$666666))</f>
        <v>0</v>
      </c>
      <c r="D44" s="56">
        <f t="shared" si="26"/>
        <v>0</v>
      </c>
      <c r="E44" s="56">
        <f t="shared" si="27"/>
        <v>0</v>
      </c>
      <c r="F44" s="56">
        <f>SUMPRODUCT((个贷明细!$M$8:$M$666666=A44)*(个贷明细!$AU$8:$AU$666666))+SUMPRODUCT((企贷明细!$M$8:$M$666666=A44)*(企贷明细!$AY$8:$AY$666666))</f>
        <v>0</v>
      </c>
      <c r="G44" s="56">
        <f>SUMPRODUCT((个贷明细!$M$8:$M$666666=A44)*(个贷明细!$AV$8:$AV$666666))+SUMPRODUCT((企贷明细!$M$8:$M$666666=A44)*(企贷明细!$AZ$8:$AZ$666666))</f>
        <v>0</v>
      </c>
      <c r="H44" s="56">
        <f>SUMPRODUCT((个贷明细!$M$8:$M$666666=A44)*(个贷明细!$AW$8:$AW$666666))+SUMPRODUCT((企贷明细!$M$8:$M$666666=A44)*(企贷明细!$BA$8:$BA$666666))</f>
        <v>0</v>
      </c>
      <c r="I44" s="56">
        <f t="shared" si="28"/>
        <v>0</v>
      </c>
      <c r="J44" s="56">
        <f>SUMPRODUCT((企贷明细!$M$8:$M$666666=A44)*(企贷明细!$BB$8:$BB$666666))</f>
        <v>0</v>
      </c>
      <c r="K44" s="56">
        <f>SUMPRODUCT((个贷明细!$M$8:$M$666666=A44)*(个贷明细!$AY$8:$AY$666666))+SUMPRODUCT((企贷明细!$M$8:$M$666666=A44)*(企贷明细!$BC$8:$BC$666666))+SUMPRODUCT((企贷明细!$M$8:$M$666666=A44)*(企贷明细!$BE$8:$BE$666666))</f>
        <v>0</v>
      </c>
      <c r="L44"/>
      <c r="M44"/>
      <c r="N44"/>
      <c r="O44"/>
      <c r="P44"/>
      <c r="Q44"/>
      <c r="R44"/>
      <c r="S44"/>
      <c r="T44"/>
      <c r="U44"/>
      <c r="V44"/>
      <c r="W44"/>
    </row>
    <row r="45" ht="14.25" spans="1:23">
      <c r="A45" s="68" t="str">
        <f>'1季统计'!A45</f>
        <v>浦发银行</v>
      </c>
      <c r="B45" s="56">
        <f>SUMPRODUCT((个贷明细!$M$8:$M$666666=A45)*(个贷明细!$Q$8:$Q$666666&gt;=设置!$H$23)*(个贷明细!$Q$8:$Q$666666&lt;=设置!$H$24)*(个贷明细!$N$8:$N$666666))+SUMPRODUCT((企贷明细!$M$8:$M$666666=A45)*(企贷明细!$Q$8:$Q$666666&gt;=设置!$H$23)*(企贷明细!$Q$8:$Q$666666&lt;=设置!$H$24)*(企贷明细!$N$8:$N$666666))</f>
        <v>0</v>
      </c>
      <c r="C45" s="56">
        <f>SUMPRODUCT((个贷明细!$M$8:$M$666666=A45)*(个贷明细!$Q$8:$Q$666666&lt;设置!$J$23)*(个贷明细!$R$8:$R$666666&gt;设置!$H$24)*(个贷明细!$T$8:$T$666666=0)*(个贷明细!$N$8:$N$666666))+SUMPRODUCT((个贷明细!$M$8:$M$666666=A45)*(个贷明细!$Q$8:$Q$666666&lt;设置!$J$23)*(个贷明细!$R$8:$R$666666&gt;设置!$H$24)*(个贷明细!$T$8:$T$666666&gt;设置!$H$24)*(个贷明细!$N$8:$N$666666))+SUMPRODUCT((企贷明细!$M$8:$M$666666=A45)*(企贷明细!$Q$8:$Q$666666&lt;设置!$J$23)*(企贷明细!$R$8:$R$666666&gt;设置!$H$24)*(企贷明细!$T$8:$T$666666=0)*(企贷明细!$N$8:$N$666666))+SUMPRODUCT((企贷明细!$M$8:$M$666666=A45)*(企贷明细!$Q$8:$Q$666666&lt;设置!$J$23)*(企贷明细!$R$8:$R$666666&gt;设置!$H$24)*(企贷明细!$T$8:$T$666666&gt;设置!$H$24)*(企贷明细!$N$8:$N$666666))</f>
        <v>0</v>
      </c>
      <c r="D45" s="56">
        <f t="shared" si="26"/>
        <v>0</v>
      </c>
      <c r="E45" s="56">
        <f t="shared" si="27"/>
        <v>0</v>
      </c>
      <c r="F45" s="56">
        <f>SUMPRODUCT((个贷明细!$M$8:$M$666666=A45)*(个贷明细!$AU$8:$AU$666666))+SUMPRODUCT((企贷明细!$M$8:$M$666666=A45)*(企贷明细!$AY$8:$AY$666666))</f>
        <v>0</v>
      </c>
      <c r="G45" s="56">
        <f>SUMPRODUCT((个贷明细!$M$8:$M$666666=A45)*(个贷明细!$AV$8:$AV$666666))+SUMPRODUCT((企贷明细!$M$8:$M$666666=A45)*(企贷明细!$AZ$8:$AZ$666666))</f>
        <v>0</v>
      </c>
      <c r="H45" s="56">
        <f>SUMPRODUCT((个贷明细!$M$8:$M$666666=A45)*(个贷明细!$AW$8:$AW$666666))+SUMPRODUCT((企贷明细!$M$8:$M$666666=A45)*(企贷明细!$BA$8:$BA$666666))</f>
        <v>0</v>
      </c>
      <c r="I45" s="56">
        <f t="shared" si="28"/>
        <v>0</v>
      </c>
      <c r="J45" s="56">
        <f>SUMPRODUCT((企贷明细!$M$8:$M$666666=A45)*(企贷明细!$BB$8:$BB$666666))</f>
        <v>0</v>
      </c>
      <c r="K45" s="56">
        <f>SUMPRODUCT((个贷明细!$M$8:$M$666666=A45)*(个贷明细!$AY$8:$AY$666666))+SUMPRODUCT((企贷明细!$M$8:$M$666666=A45)*(企贷明细!$BC$8:$BC$666666))+SUMPRODUCT((企贷明细!$M$8:$M$666666=A45)*(企贷明细!$BE$8:$BE$666666))</f>
        <v>0</v>
      </c>
      <c r="L45"/>
      <c r="M45"/>
      <c r="N45"/>
      <c r="O45"/>
      <c r="P45"/>
      <c r="Q45"/>
      <c r="R45"/>
      <c r="S45"/>
      <c r="T45"/>
      <c r="U45"/>
      <c r="V45"/>
      <c r="W45"/>
    </row>
    <row r="46" ht="14.25" spans="1:23">
      <c r="A46" s="68" t="str">
        <f>'1季统计'!A46</f>
        <v>民生银行</v>
      </c>
      <c r="B46" s="56">
        <f>SUMPRODUCT((个贷明细!$M$8:$M$666666=A46)*(个贷明细!$Q$8:$Q$666666&gt;=设置!$H$23)*(个贷明细!$Q$8:$Q$666666&lt;=设置!$H$24)*(个贷明细!$N$8:$N$666666))+SUMPRODUCT((企贷明细!$M$8:$M$666666=A46)*(企贷明细!$Q$8:$Q$666666&gt;=设置!$H$23)*(企贷明细!$Q$8:$Q$666666&lt;=设置!$H$24)*(企贷明细!$N$8:$N$666666))</f>
        <v>0</v>
      </c>
      <c r="C46" s="56">
        <f>SUMPRODUCT((个贷明细!$M$8:$M$666666=A46)*(个贷明细!$Q$8:$Q$666666&lt;设置!$J$23)*(个贷明细!$R$8:$R$666666&gt;设置!$H$24)*(个贷明细!$T$8:$T$666666=0)*(个贷明细!$N$8:$N$666666))+SUMPRODUCT((个贷明细!$M$8:$M$666666=A46)*(个贷明细!$Q$8:$Q$666666&lt;设置!$J$23)*(个贷明细!$R$8:$R$666666&gt;设置!$H$24)*(个贷明细!$T$8:$T$666666&gt;设置!$H$24)*(个贷明细!$N$8:$N$666666))+SUMPRODUCT((企贷明细!$M$8:$M$666666=A46)*(企贷明细!$Q$8:$Q$666666&lt;设置!$J$23)*(企贷明细!$R$8:$R$666666&gt;设置!$H$24)*(企贷明细!$T$8:$T$666666=0)*(企贷明细!$N$8:$N$666666))+SUMPRODUCT((企贷明细!$M$8:$M$666666=A46)*(企贷明细!$Q$8:$Q$666666&lt;设置!$J$23)*(企贷明细!$R$8:$R$666666&gt;设置!$H$24)*(企贷明细!$T$8:$T$666666&gt;设置!$H$24)*(企贷明细!$N$8:$N$666666))</f>
        <v>0</v>
      </c>
      <c r="D46" s="56">
        <f t="shared" si="26"/>
        <v>0</v>
      </c>
      <c r="E46" s="56">
        <f t="shared" si="27"/>
        <v>0</v>
      </c>
      <c r="F46" s="56">
        <f>SUMPRODUCT((个贷明细!$M$8:$M$666666=A46)*(个贷明细!$AU$8:$AU$666666))+SUMPRODUCT((企贷明细!$M$8:$M$666666=A46)*(企贷明细!$AY$8:$AY$666666))</f>
        <v>0</v>
      </c>
      <c r="G46" s="56">
        <f>SUMPRODUCT((个贷明细!$M$8:$M$666666=A46)*(个贷明细!$AV$8:$AV$666666))+SUMPRODUCT((企贷明细!$M$8:$M$666666=A46)*(企贷明细!$AZ$8:$AZ$666666))</f>
        <v>0</v>
      </c>
      <c r="H46" s="56">
        <f>SUMPRODUCT((个贷明细!$M$8:$M$666666=A46)*(个贷明细!$AW$8:$AW$666666))+SUMPRODUCT((企贷明细!$M$8:$M$666666=A46)*(企贷明细!$BA$8:$BA$666666))</f>
        <v>0</v>
      </c>
      <c r="I46" s="56">
        <f t="shared" si="28"/>
        <v>0</v>
      </c>
      <c r="J46" s="56">
        <f>SUMPRODUCT((企贷明细!$M$8:$M$666666=A46)*(企贷明细!$BB$8:$BB$666666))</f>
        <v>0</v>
      </c>
      <c r="K46" s="56">
        <f>SUMPRODUCT((个贷明细!$M$8:$M$666666=A46)*(个贷明细!$AY$8:$AY$666666))+SUMPRODUCT((企贷明细!$M$8:$M$666666=A46)*(企贷明细!$BC$8:$BC$666666))+SUMPRODUCT((企贷明细!$M$8:$M$666666=A46)*(企贷明细!$BE$8:$BE$666666))</f>
        <v>0</v>
      </c>
      <c r="L46"/>
      <c r="M46"/>
      <c r="N46"/>
      <c r="O46"/>
      <c r="P46"/>
      <c r="Q46"/>
      <c r="R46"/>
      <c r="S46"/>
      <c r="T46"/>
      <c r="U46"/>
      <c r="V46"/>
      <c r="W46"/>
    </row>
    <row r="47" ht="14.25" spans="1:23">
      <c r="A47" s="68" t="str">
        <f>'1季统计'!A47</f>
        <v>广发银行</v>
      </c>
      <c r="B47" s="56">
        <f>SUMPRODUCT((个贷明细!$M$8:$M$666666=A47)*(个贷明细!$Q$8:$Q$666666&gt;=设置!$H$23)*(个贷明细!$Q$8:$Q$666666&lt;=设置!$H$24)*(个贷明细!$N$8:$N$666666))+SUMPRODUCT((企贷明细!$M$8:$M$666666=A47)*(企贷明细!$Q$8:$Q$666666&gt;=设置!$H$23)*(企贷明细!$Q$8:$Q$666666&lt;=设置!$H$24)*(企贷明细!$N$8:$N$666666))</f>
        <v>0</v>
      </c>
      <c r="C47" s="56">
        <f>SUMPRODUCT((个贷明细!$M$8:$M$666666=A47)*(个贷明细!$Q$8:$Q$666666&lt;设置!$J$23)*(个贷明细!$R$8:$R$666666&gt;设置!$H$24)*(个贷明细!$T$8:$T$666666=0)*(个贷明细!$N$8:$N$666666))+SUMPRODUCT((个贷明细!$M$8:$M$666666=A47)*(个贷明细!$Q$8:$Q$666666&lt;设置!$J$23)*(个贷明细!$R$8:$R$666666&gt;设置!$H$24)*(个贷明细!$T$8:$T$666666&gt;设置!$H$24)*(个贷明细!$N$8:$N$666666))+SUMPRODUCT((企贷明细!$M$8:$M$666666=A47)*(企贷明细!$Q$8:$Q$666666&lt;设置!$J$23)*(企贷明细!$R$8:$R$666666&gt;设置!$H$24)*(企贷明细!$T$8:$T$666666=0)*(企贷明细!$N$8:$N$666666))+SUMPRODUCT((企贷明细!$M$8:$M$666666=A47)*(企贷明细!$Q$8:$Q$666666&lt;设置!$J$23)*(企贷明细!$R$8:$R$666666&gt;设置!$H$24)*(企贷明细!$T$8:$T$666666&gt;设置!$H$24)*(企贷明细!$N$8:$N$666666))</f>
        <v>0</v>
      </c>
      <c r="D47" s="56">
        <f t="shared" si="26"/>
        <v>0</v>
      </c>
      <c r="E47" s="56">
        <f t="shared" si="27"/>
        <v>0</v>
      </c>
      <c r="F47" s="56">
        <f>SUMPRODUCT((个贷明细!$M$8:$M$666666=A47)*(个贷明细!$AU$8:$AU$666666))+SUMPRODUCT((企贷明细!$M$8:$M$666666=A47)*(企贷明细!$AY$8:$AY$666666))</f>
        <v>0</v>
      </c>
      <c r="G47" s="56">
        <f>SUMPRODUCT((个贷明细!$M$8:$M$666666=A47)*(个贷明细!$AV$8:$AV$666666))+SUMPRODUCT((企贷明细!$M$8:$M$666666=A47)*(企贷明细!$AZ$8:$AZ$666666))</f>
        <v>0</v>
      </c>
      <c r="H47" s="56">
        <f>SUMPRODUCT((个贷明细!$M$8:$M$666666=A47)*(个贷明细!$AW$8:$AW$666666))+SUMPRODUCT((企贷明细!$M$8:$M$666666=A47)*(企贷明细!$BA$8:$BA$666666))</f>
        <v>0</v>
      </c>
      <c r="I47" s="56">
        <f t="shared" si="28"/>
        <v>0</v>
      </c>
      <c r="J47" s="56">
        <f>SUMPRODUCT((企贷明细!$M$8:$M$666666=A47)*(企贷明细!$BB$8:$BB$666666))</f>
        <v>0</v>
      </c>
      <c r="K47" s="56">
        <f>SUMPRODUCT((个贷明细!$M$8:$M$666666=A47)*(个贷明细!$AY$8:$AY$666666))+SUMPRODUCT((企贷明细!$M$8:$M$666666=A47)*(企贷明细!$BC$8:$BC$666666))+SUMPRODUCT((企贷明细!$M$8:$M$666666=A47)*(企贷明细!$BE$8:$BE$666666))</f>
        <v>0</v>
      </c>
      <c r="L47"/>
      <c r="M47"/>
      <c r="N47"/>
      <c r="O47"/>
      <c r="P47"/>
      <c r="Q47"/>
      <c r="R47"/>
      <c r="S47"/>
      <c r="T47"/>
      <c r="U47"/>
      <c r="V47"/>
      <c r="W47"/>
    </row>
    <row r="48" ht="14.25" spans="1:23">
      <c r="A48" s="68" t="str">
        <f>'1季统计'!A48</f>
        <v>兴业银行</v>
      </c>
      <c r="B48" s="56">
        <f>SUMPRODUCT((个贷明细!$M$8:$M$666666=A48)*(个贷明细!$Q$8:$Q$666666&gt;=设置!$H$23)*(个贷明细!$Q$8:$Q$666666&lt;=设置!$H$24)*(个贷明细!$N$8:$N$666666))+SUMPRODUCT((企贷明细!$M$8:$M$666666=A48)*(企贷明细!$Q$8:$Q$666666&gt;=设置!$H$23)*(企贷明细!$Q$8:$Q$666666&lt;=设置!$H$24)*(企贷明细!$N$8:$N$666666))</f>
        <v>0</v>
      </c>
      <c r="C48" s="56">
        <f>SUMPRODUCT((个贷明细!$M$8:$M$666666=A48)*(个贷明细!$Q$8:$Q$666666&lt;设置!$J$23)*(个贷明细!$R$8:$R$666666&gt;设置!$H$24)*(个贷明细!$T$8:$T$666666=0)*(个贷明细!$N$8:$N$666666))+SUMPRODUCT((个贷明细!$M$8:$M$666666=A48)*(个贷明细!$Q$8:$Q$666666&lt;设置!$J$23)*(个贷明细!$R$8:$R$666666&gt;设置!$H$24)*(个贷明细!$T$8:$T$666666&gt;设置!$H$24)*(个贷明细!$N$8:$N$666666))+SUMPRODUCT((企贷明细!$M$8:$M$666666=A48)*(企贷明细!$Q$8:$Q$666666&lt;设置!$J$23)*(企贷明细!$R$8:$R$666666&gt;设置!$H$24)*(企贷明细!$T$8:$T$666666=0)*(企贷明细!$N$8:$N$666666))+SUMPRODUCT((企贷明细!$M$8:$M$666666=A48)*(企贷明细!$Q$8:$Q$666666&lt;设置!$J$23)*(企贷明细!$R$8:$R$666666&gt;设置!$H$24)*(企贷明细!$T$8:$T$666666&gt;设置!$H$24)*(企贷明细!$N$8:$N$666666))</f>
        <v>0</v>
      </c>
      <c r="D48" s="56">
        <f t="shared" si="26"/>
        <v>0</v>
      </c>
      <c r="E48" s="56">
        <f t="shared" si="27"/>
        <v>0</v>
      </c>
      <c r="F48" s="56">
        <f>SUMPRODUCT((个贷明细!$M$8:$M$666666=A48)*(个贷明细!$AU$8:$AU$666666))+SUMPRODUCT((企贷明细!$M$8:$M$666666=A48)*(企贷明细!$AY$8:$AY$666666))</f>
        <v>0</v>
      </c>
      <c r="G48" s="56">
        <f>SUMPRODUCT((个贷明细!$M$8:$M$666666=A48)*(个贷明细!$AV$8:$AV$666666))+SUMPRODUCT((企贷明细!$M$8:$M$666666=A48)*(企贷明细!$AZ$8:$AZ$666666))</f>
        <v>0</v>
      </c>
      <c r="H48" s="56">
        <f>SUMPRODUCT((个贷明细!$M$8:$M$666666=A48)*(个贷明细!$AW$8:$AW$666666))+SUMPRODUCT((企贷明细!$M$8:$M$666666=A48)*(企贷明细!$BA$8:$BA$666666))</f>
        <v>0</v>
      </c>
      <c r="I48" s="56">
        <f t="shared" si="28"/>
        <v>0</v>
      </c>
      <c r="J48" s="56">
        <f>SUMPRODUCT((企贷明细!$M$8:$M$666666=A48)*(企贷明细!$BB$8:$BB$666666))</f>
        <v>0</v>
      </c>
      <c r="K48" s="56">
        <f>SUMPRODUCT((个贷明细!$M$8:$M$666666=A48)*(个贷明细!$AY$8:$AY$666666))+SUMPRODUCT((企贷明细!$M$8:$M$666666=A48)*(企贷明细!$BC$8:$BC$666666))+SUMPRODUCT((企贷明细!$M$8:$M$666666=A48)*(企贷明细!$BE$8:$BE$666666))</f>
        <v>0</v>
      </c>
      <c r="L48"/>
      <c r="M48"/>
      <c r="N48"/>
      <c r="O48"/>
      <c r="P48"/>
      <c r="Q48"/>
      <c r="R48"/>
      <c r="S48"/>
      <c r="T48"/>
      <c r="U48"/>
      <c r="V48"/>
      <c r="W48"/>
    </row>
    <row r="49" ht="14.25" spans="1:23">
      <c r="A49" s="68" t="str">
        <f>'1季统计'!A49</f>
        <v>平安银行</v>
      </c>
      <c r="B49" s="56">
        <f>SUMPRODUCT((个贷明细!$M$8:$M$666666=A49)*(个贷明细!$Q$8:$Q$666666&gt;=设置!$H$23)*(个贷明细!$Q$8:$Q$666666&lt;=设置!$H$24)*(个贷明细!$N$8:$N$666666))+SUMPRODUCT((企贷明细!$M$8:$M$666666=A49)*(企贷明细!$Q$8:$Q$666666&gt;=设置!$H$23)*(企贷明细!$Q$8:$Q$666666&lt;=设置!$H$24)*(企贷明细!$N$8:$N$666666))</f>
        <v>0</v>
      </c>
      <c r="C49" s="56">
        <f>SUMPRODUCT((个贷明细!$M$8:$M$666666=A49)*(个贷明细!$Q$8:$Q$666666&lt;设置!$J$23)*(个贷明细!$R$8:$R$666666&gt;设置!$H$24)*(个贷明细!$T$8:$T$666666=0)*(个贷明细!$N$8:$N$666666))+SUMPRODUCT((个贷明细!$M$8:$M$666666=A49)*(个贷明细!$Q$8:$Q$666666&lt;设置!$J$23)*(个贷明细!$R$8:$R$666666&gt;设置!$H$24)*(个贷明细!$T$8:$T$666666&gt;设置!$H$24)*(个贷明细!$N$8:$N$666666))+SUMPRODUCT((企贷明细!$M$8:$M$666666=A49)*(企贷明细!$Q$8:$Q$666666&lt;设置!$J$23)*(企贷明细!$R$8:$R$666666&gt;设置!$H$24)*(企贷明细!$T$8:$T$666666=0)*(企贷明细!$N$8:$N$666666))+SUMPRODUCT((企贷明细!$M$8:$M$666666=A49)*(企贷明细!$Q$8:$Q$666666&lt;设置!$J$23)*(企贷明细!$R$8:$R$666666&gt;设置!$H$24)*(企贷明细!$T$8:$T$666666&gt;设置!$H$24)*(企贷明细!$N$8:$N$666666))</f>
        <v>0</v>
      </c>
      <c r="D49" s="56">
        <f t="shared" si="26"/>
        <v>0</v>
      </c>
      <c r="E49" s="56">
        <f t="shared" si="27"/>
        <v>0</v>
      </c>
      <c r="F49" s="56">
        <f>SUMPRODUCT((个贷明细!$M$8:$M$666666=A49)*(个贷明细!$AU$8:$AU$666666))+SUMPRODUCT((企贷明细!$M$8:$M$666666=A49)*(企贷明细!$AY$8:$AY$666666))</f>
        <v>0</v>
      </c>
      <c r="G49" s="56">
        <f>SUMPRODUCT((个贷明细!$M$8:$M$666666=A49)*(个贷明细!$AV$8:$AV$666666))+SUMPRODUCT((企贷明细!$M$8:$M$666666=A49)*(企贷明细!$AZ$8:$AZ$666666))</f>
        <v>0</v>
      </c>
      <c r="H49" s="56">
        <f>SUMPRODUCT((个贷明细!$M$8:$M$666666=A49)*(个贷明细!$AW$8:$AW$666666))+SUMPRODUCT((企贷明细!$M$8:$M$666666=A49)*(企贷明细!$BA$8:$BA$666666))</f>
        <v>0</v>
      </c>
      <c r="I49" s="56">
        <f t="shared" si="28"/>
        <v>0</v>
      </c>
      <c r="J49" s="56">
        <f>SUMPRODUCT((企贷明细!$M$8:$M$666666=A49)*(企贷明细!$BB$8:$BB$666666))</f>
        <v>0</v>
      </c>
      <c r="K49" s="56">
        <f>SUMPRODUCT((个贷明细!$M$8:$M$666666=A49)*(个贷明细!$AY$8:$AY$666666))+SUMPRODUCT((企贷明细!$M$8:$M$666666=A49)*(企贷明细!$BC$8:$BC$666666))+SUMPRODUCT((企贷明细!$M$8:$M$666666=A49)*(企贷明细!$BE$8:$BE$666666))</f>
        <v>0</v>
      </c>
      <c r="L49"/>
      <c r="M49"/>
      <c r="N49"/>
      <c r="O49"/>
      <c r="P49"/>
      <c r="Q49"/>
      <c r="R49"/>
      <c r="S49"/>
      <c r="T49"/>
      <c r="U49"/>
      <c r="V49"/>
      <c r="W49"/>
    </row>
    <row r="50" ht="14.25" spans="1:23">
      <c r="A50" s="68" t="str">
        <f>'1季统计'!A50</f>
        <v>其他股份银行</v>
      </c>
      <c r="B50" s="56">
        <f>SUMPRODUCT((个贷明细!$M$8:$M$666666=A50)*(个贷明细!$Q$8:$Q$666666&gt;=设置!$H$23)*(个贷明细!$Q$8:$Q$666666&lt;=设置!$H$24)*(个贷明细!$N$8:$N$666666))+SUMPRODUCT((企贷明细!$M$8:$M$666666=A50)*(企贷明细!$Q$8:$Q$666666&gt;=设置!$H$23)*(企贷明细!$Q$8:$Q$666666&lt;=设置!$H$24)*(企贷明细!$N$8:$N$666666))</f>
        <v>0</v>
      </c>
      <c r="C50" s="56">
        <f>SUMPRODUCT((个贷明细!$M$8:$M$666666=A50)*(个贷明细!$Q$8:$Q$666666&lt;设置!$J$23)*(个贷明细!$R$8:$R$666666&gt;设置!$H$24)*(个贷明细!$T$8:$T$666666=0)*(个贷明细!$N$8:$N$666666))+SUMPRODUCT((个贷明细!$M$8:$M$666666=A50)*(个贷明细!$Q$8:$Q$666666&lt;设置!$J$23)*(个贷明细!$R$8:$R$666666&gt;设置!$H$24)*(个贷明细!$T$8:$T$666666&gt;设置!$H$24)*(个贷明细!$N$8:$N$666666))+SUMPRODUCT((企贷明细!$M$8:$M$666666=A50)*(企贷明细!$Q$8:$Q$666666&lt;设置!$J$23)*(企贷明细!$R$8:$R$666666&gt;设置!$H$24)*(企贷明细!$T$8:$T$666666=0)*(企贷明细!$N$8:$N$666666))+SUMPRODUCT((企贷明细!$M$8:$M$666666=A50)*(企贷明细!$Q$8:$Q$666666&lt;设置!$J$23)*(企贷明细!$R$8:$R$666666&gt;设置!$H$24)*(企贷明细!$T$8:$T$666666&gt;设置!$H$24)*(企贷明细!$N$8:$N$666666))</f>
        <v>0</v>
      </c>
      <c r="D50" s="56">
        <f t="shared" si="26"/>
        <v>0</v>
      </c>
      <c r="E50" s="56">
        <f t="shared" si="27"/>
        <v>0</v>
      </c>
      <c r="F50" s="56">
        <f>SUMPRODUCT((个贷明细!$M$8:$M$666666=A50)*(个贷明细!$AU$8:$AU$666666))+SUMPRODUCT((企贷明细!$M$8:$M$666666=A50)*(企贷明细!$AY$8:$AY$666666))</f>
        <v>0</v>
      </c>
      <c r="G50" s="56">
        <f>SUMPRODUCT((个贷明细!$M$8:$M$666666=A50)*(个贷明细!$AV$8:$AV$666666))+SUMPRODUCT((企贷明细!$M$8:$M$666666=A50)*(企贷明细!$AZ$8:$AZ$666666))</f>
        <v>0</v>
      </c>
      <c r="H50" s="56">
        <f>SUMPRODUCT((个贷明细!$M$8:$M$666666=A50)*(个贷明细!$AW$8:$AW$666666))+SUMPRODUCT((企贷明细!$M$8:$M$666666=A50)*(企贷明细!$BA$8:$BA$666666))</f>
        <v>0</v>
      </c>
      <c r="I50" s="56">
        <f t="shared" si="28"/>
        <v>0</v>
      </c>
      <c r="J50" s="56">
        <f>SUMPRODUCT((企贷明细!$M$8:$M$666666=A50)*(企贷明细!$BB$8:$BB$666666))</f>
        <v>0</v>
      </c>
      <c r="K50" s="56">
        <f>SUMPRODUCT((个贷明细!$M$8:$M$666666=A50)*(个贷明细!$AY$8:$AY$666666))+SUMPRODUCT((企贷明细!$M$8:$M$666666=A50)*(企贷明细!$BC$8:$BC$666666))+SUMPRODUCT((企贷明细!$M$8:$M$666666=A50)*(企贷明细!$BE$8:$BE$666666))</f>
        <v>0</v>
      </c>
      <c r="L50"/>
      <c r="M50"/>
      <c r="N50"/>
      <c r="O50"/>
      <c r="P50"/>
      <c r="Q50"/>
      <c r="R50"/>
      <c r="S50"/>
      <c r="T50"/>
      <c r="U50"/>
      <c r="V50"/>
      <c r="W50"/>
    </row>
    <row r="51" ht="14.25" spans="1:23">
      <c r="A51" s="68" t="str">
        <f>'1季统计'!A51</f>
        <v>其他股份银行2</v>
      </c>
      <c r="B51" s="56">
        <f>SUMPRODUCT((个贷明细!$M$8:$M$666666=A51)*(个贷明细!$Q$8:$Q$666666&gt;=设置!$H$23)*(个贷明细!$Q$8:$Q$666666&lt;=设置!$H$24)*(个贷明细!$N$8:$N$666666))+SUMPRODUCT((企贷明细!$M$8:$M$666666=A51)*(企贷明细!$Q$8:$Q$666666&gt;=设置!$H$23)*(企贷明细!$Q$8:$Q$666666&lt;=设置!$H$24)*(企贷明细!$N$8:$N$666666))</f>
        <v>0</v>
      </c>
      <c r="C51" s="56">
        <f>SUMPRODUCT((个贷明细!$M$8:$M$666666=A51)*(个贷明细!$Q$8:$Q$666666&lt;设置!$J$23)*(个贷明细!$R$8:$R$666666&gt;设置!$H$24)*(个贷明细!$T$8:$T$666666=0)*(个贷明细!$N$8:$N$666666))+SUMPRODUCT((个贷明细!$M$8:$M$666666=A51)*(个贷明细!$Q$8:$Q$666666&lt;设置!$J$23)*(个贷明细!$R$8:$R$666666&gt;设置!$H$24)*(个贷明细!$T$8:$T$666666&gt;设置!$H$24)*(个贷明细!$N$8:$N$666666))+SUMPRODUCT((企贷明细!$M$8:$M$666666=A51)*(企贷明细!$Q$8:$Q$666666&lt;设置!$J$23)*(企贷明细!$R$8:$R$666666&gt;设置!$H$24)*(企贷明细!$T$8:$T$666666=0)*(企贷明细!$N$8:$N$666666))+SUMPRODUCT((企贷明细!$M$8:$M$666666=A51)*(企贷明细!$Q$8:$Q$666666&lt;设置!$J$23)*(企贷明细!$R$8:$R$666666&gt;设置!$H$24)*(企贷明细!$T$8:$T$666666&gt;设置!$H$24)*(企贷明细!$N$8:$N$666666))</f>
        <v>0</v>
      </c>
      <c r="D51" s="56">
        <f t="shared" si="26"/>
        <v>0</v>
      </c>
      <c r="E51" s="56">
        <f t="shared" si="27"/>
        <v>0</v>
      </c>
      <c r="F51" s="56">
        <f>SUMPRODUCT((个贷明细!$M$8:$M$666666=A51)*(个贷明细!$AU$8:$AU$666666))+SUMPRODUCT((企贷明细!$M$8:$M$666666=A51)*(企贷明细!$AY$8:$AY$666666))</f>
        <v>0</v>
      </c>
      <c r="G51" s="56">
        <f>SUMPRODUCT((个贷明细!$M$8:$M$666666=A51)*(个贷明细!$AV$8:$AV$666666))+SUMPRODUCT((企贷明细!$M$8:$M$666666=A51)*(企贷明细!$AZ$8:$AZ$666666))</f>
        <v>0</v>
      </c>
      <c r="H51" s="56">
        <f>SUMPRODUCT((个贷明细!$M$8:$M$666666=A51)*(个贷明细!$AW$8:$AW$666666))+SUMPRODUCT((企贷明细!$M$8:$M$666666=A51)*(企贷明细!$BA$8:$BA$666666))</f>
        <v>0</v>
      </c>
      <c r="I51" s="56">
        <f t="shared" si="28"/>
        <v>0</v>
      </c>
      <c r="J51" s="56">
        <f>SUMPRODUCT((企贷明细!$M$8:$M$666666=A51)*(企贷明细!$BB$8:$BB$666666))</f>
        <v>0</v>
      </c>
      <c r="K51" s="56">
        <f>SUMPRODUCT((个贷明细!$M$8:$M$666666=A51)*(个贷明细!$AY$8:$AY$666666))+SUMPRODUCT((企贷明细!$M$8:$M$666666=A51)*(企贷明细!$BC$8:$BC$666666))+SUMPRODUCT((企贷明细!$M$8:$M$666666=A51)*(企贷明细!$BE$8:$BE$666666))</f>
        <v>0</v>
      </c>
      <c r="L51"/>
      <c r="M51"/>
      <c r="N51"/>
      <c r="O51"/>
      <c r="P51"/>
      <c r="Q51"/>
      <c r="R51"/>
      <c r="S51"/>
      <c r="T51"/>
      <c r="U51"/>
      <c r="V51"/>
      <c r="W51"/>
    </row>
    <row r="52" ht="14.25" spans="1:23">
      <c r="A52" s="68" t="str">
        <f>'1季统计'!A52</f>
        <v>其他股份银行3</v>
      </c>
      <c r="B52" s="56">
        <f>SUMPRODUCT((个贷明细!$M$8:$M$666666=A52)*(个贷明细!$Q$8:$Q$666666&gt;=设置!$H$23)*(个贷明细!$Q$8:$Q$666666&lt;=设置!$H$24)*(个贷明细!$N$8:$N$666666))+SUMPRODUCT((企贷明细!$M$8:$M$666666=A52)*(企贷明细!$Q$8:$Q$666666&gt;=设置!$H$23)*(企贷明细!$Q$8:$Q$666666&lt;=设置!$H$24)*(企贷明细!$N$8:$N$666666))</f>
        <v>0</v>
      </c>
      <c r="C52" s="56">
        <f>SUMPRODUCT((个贷明细!$M$8:$M$666666=A52)*(个贷明细!$Q$8:$Q$666666&lt;设置!$J$23)*(个贷明细!$R$8:$R$666666&gt;设置!$H$24)*(个贷明细!$T$8:$T$666666=0)*(个贷明细!$N$8:$N$666666))+SUMPRODUCT((个贷明细!$M$8:$M$666666=A52)*(个贷明细!$Q$8:$Q$666666&lt;设置!$J$23)*(个贷明细!$R$8:$R$666666&gt;设置!$H$24)*(个贷明细!$T$8:$T$666666&gt;设置!$H$24)*(个贷明细!$N$8:$N$666666))+SUMPRODUCT((企贷明细!$M$8:$M$666666=A52)*(企贷明细!$Q$8:$Q$666666&lt;设置!$J$23)*(企贷明细!$R$8:$R$666666&gt;设置!$H$24)*(企贷明细!$T$8:$T$666666=0)*(企贷明细!$N$8:$N$666666))+SUMPRODUCT((企贷明细!$M$8:$M$666666=A52)*(企贷明细!$Q$8:$Q$666666&lt;设置!$J$23)*(企贷明细!$R$8:$R$666666&gt;设置!$H$24)*(企贷明细!$T$8:$T$666666&gt;设置!$H$24)*(企贷明细!$N$8:$N$666666))</f>
        <v>0</v>
      </c>
      <c r="D52" s="56">
        <f t="shared" si="26"/>
        <v>0</v>
      </c>
      <c r="E52" s="56">
        <f t="shared" si="27"/>
        <v>0</v>
      </c>
      <c r="F52" s="56">
        <f>SUMPRODUCT((个贷明细!$M$8:$M$666666=A52)*(个贷明细!$AU$8:$AU$666666))+SUMPRODUCT((企贷明细!$M$8:$M$666666=A52)*(企贷明细!$AY$8:$AY$666666))</f>
        <v>0</v>
      </c>
      <c r="G52" s="56">
        <f>SUMPRODUCT((个贷明细!$M$8:$M$666666=A52)*(个贷明细!$AV$8:$AV$666666))+SUMPRODUCT((企贷明细!$M$8:$M$666666=A52)*(企贷明细!$AZ$8:$AZ$666666))</f>
        <v>0</v>
      </c>
      <c r="H52" s="56">
        <f>SUMPRODUCT((个贷明细!$M$8:$M$666666=A52)*(个贷明细!$AW$8:$AW$666666))+SUMPRODUCT((企贷明细!$M$8:$M$666666=A52)*(企贷明细!$BA$8:$BA$666666))</f>
        <v>0</v>
      </c>
      <c r="I52" s="56">
        <f t="shared" si="28"/>
        <v>0</v>
      </c>
      <c r="J52" s="56">
        <f>SUMPRODUCT((企贷明细!$M$8:$M$666666=A52)*(企贷明细!$BB$8:$BB$666666))</f>
        <v>0</v>
      </c>
      <c r="K52" s="56">
        <f>SUMPRODUCT((个贷明细!$M$8:$M$666666=A52)*(个贷明细!$AY$8:$AY$666666))+SUMPRODUCT((企贷明细!$M$8:$M$666666=A52)*(企贷明细!$BC$8:$BC$666666))+SUMPRODUCT((企贷明细!$M$8:$M$666666=A52)*(企贷明细!$BE$8:$BE$666666))</f>
        <v>0</v>
      </c>
      <c r="L52"/>
      <c r="M52"/>
      <c r="N52"/>
      <c r="O52"/>
      <c r="P52"/>
      <c r="Q52"/>
      <c r="R52"/>
      <c r="S52"/>
      <c r="T52"/>
      <c r="U52"/>
      <c r="V52"/>
      <c r="W52"/>
    </row>
    <row r="53" ht="14.25" spans="1:23">
      <c r="A53" s="68" t="str">
        <f>'1季统计'!A53</f>
        <v>湖北银行</v>
      </c>
      <c r="B53" s="56">
        <f>SUMPRODUCT((个贷明细!$M$8:$M$666666=A53)*(个贷明细!$Q$8:$Q$666666&gt;=设置!$H$23)*(个贷明细!$Q$8:$Q$666666&lt;=设置!$H$24)*(个贷明细!$N$8:$N$666666))+SUMPRODUCT((企贷明细!$M$8:$M$666666=A53)*(企贷明细!$Q$8:$Q$666666&gt;=设置!$H$23)*(企贷明细!$Q$8:$Q$666666&lt;=设置!$H$24)*(企贷明细!$N$8:$N$666666))</f>
        <v>0</v>
      </c>
      <c r="C53" s="56">
        <f>SUMPRODUCT((个贷明细!$M$8:$M$666666=A53)*(个贷明细!$Q$8:$Q$666666&lt;设置!$J$23)*(个贷明细!$R$8:$R$666666&gt;设置!$H$24)*(个贷明细!$T$8:$T$666666=0)*(个贷明细!$N$8:$N$666666))+SUMPRODUCT((个贷明细!$M$8:$M$666666=A53)*(个贷明细!$Q$8:$Q$666666&lt;设置!$J$23)*(个贷明细!$R$8:$R$666666&gt;设置!$H$24)*(个贷明细!$T$8:$T$666666&gt;设置!$H$24)*(个贷明细!$N$8:$N$666666))+SUMPRODUCT((企贷明细!$M$8:$M$666666=A53)*(企贷明细!$Q$8:$Q$666666&lt;设置!$J$23)*(企贷明细!$R$8:$R$666666&gt;设置!$H$24)*(企贷明细!$T$8:$T$666666=0)*(企贷明细!$N$8:$N$666666))+SUMPRODUCT((企贷明细!$M$8:$M$666666=A53)*(企贷明细!$Q$8:$Q$666666&lt;设置!$J$23)*(企贷明细!$R$8:$R$666666&gt;设置!$H$24)*(企贷明细!$T$8:$T$666666&gt;设置!$H$24)*(企贷明细!$N$8:$N$666666))</f>
        <v>0</v>
      </c>
      <c r="D53" s="56">
        <f t="shared" si="26"/>
        <v>0</v>
      </c>
      <c r="E53" s="56">
        <f t="shared" si="27"/>
        <v>0</v>
      </c>
      <c r="F53" s="56">
        <f>SUMPRODUCT((个贷明细!$M$8:$M$666666=A53)*(个贷明细!$AU$8:$AU$666666))+SUMPRODUCT((企贷明细!$M$8:$M$666666=A53)*(企贷明细!$AY$8:$AY$666666))</f>
        <v>0</v>
      </c>
      <c r="G53" s="56">
        <f>SUMPRODUCT((个贷明细!$M$8:$M$666666=A53)*(个贷明细!$AV$8:$AV$666666))+SUMPRODUCT((企贷明细!$M$8:$M$666666=A53)*(企贷明细!$AZ$8:$AZ$666666))</f>
        <v>0</v>
      </c>
      <c r="H53" s="56">
        <f>SUMPRODUCT((个贷明细!$M$8:$M$666666=A53)*(个贷明细!$AW$8:$AW$666666))+SUMPRODUCT((企贷明细!$M$8:$M$666666=A53)*(企贷明细!$BA$8:$BA$666666))</f>
        <v>0</v>
      </c>
      <c r="I53" s="56">
        <f t="shared" si="28"/>
        <v>0</v>
      </c>
      <c r="J53" s="56">
        <f>SUMPRODUCT((企贷明细!$M$8:$M$666666=A53)*(企贷明细!$BB$8:$BB$666666))</f>
        <v>0</v>
      </c>
      <c r="K53" s="56">
        <f>SUMPRODUCT((个贷明细!$M$8:$M$666666=A53)*(个贷明细!$AY$8:$AY$666666))+SUMPRODUCT((企贷明细!$M$8:$M$666666=A53)*(企贷明细!$BC$8:$BC$666666))+SUMPRODUCT((企贷明细!$M$8:$M$666666=A53)*(企贷明细!$BE$8:$BE$666666))</f>
        <v>0</v>
      </c>
      <c r="L53"/>
      <c r="M53"/>
      <c r="N53"/>
      <c r="O53"/>
      <c r="P53"/>
      <c r="Q53"/>
      <c r="R53"/>
      <c r="S53"/>
      <c r="T53"/>
      <c r="U53"/>
      <c r="V53"/>
      <c r="W53"/>
    </row>
    <row r="54" ht="14.25" spans="1:23">
      <c r="A54" s="68" t="str">
        <f>'1季统计'!A54</f>
        <v>汉口银行</v>
      </c>
      <c r="B54" s="56">
        <f>SUMPRODUCT((个贷明细!$M$8:$M$666666=A54)*(个贷明细!$Q$8:$Q$666666&gt;=设置!$H$23)*(个贷明细!$Q$8:$Q$666666&lt;=设置!$H$24)*(个贷明细!$N$8:$N$666666))+SUMPRODUCT((企贷明细!$M$8:$M$666666=A54)*(企贷明细!$Q$8:$Q$666666&gt;=设置!$H$23)*(企贷明细!$Q$8:$Q$666666&lt;=设置!$H$24)*(企贷明细!$N$8:$N$666666))</f>
        <v>0</v>
      </c>
      <c r="C54" s="56">
        <f>SUMPRODUCT((个贷明细!$M$8:$M$666666=A54)*(个贷明细!$Q$8:$Q$666666&lt;设置!$J$23)*(个贷明细!$R$8:$R$666666&gt;设置!$H$24)*(个贷明细!$T$8:$T$666666=0)*(个贷明细!$N$8:$N$666666))+SUMPRODUCT((个贷明细!$M$8:$M$666666=A54)*(个贷明细!$Q$8:$Q$666666&lt;设置!$J$23)*(个贷明细!$R$8:$R$666666&gt;设置!$H$24)*(个贷明细!$T$8:$T$666666&gt;设置!$H$24)*(个贷明细!$N$8:$N$666666))+SUMPRODUCT((企贷明细!$M$8:$M$666666=A54)*(企贷明细!$Q$8:$Q$666666&lt;设置!$J$23)*(企贷明细!$R$8:$R$666666&gt;设置!$H$24)*(企贷明细!$T$8:$T$666666=0)*(企贷明细!$N$8:$N$666666))+SUMPRODUCT((企贷明细!$M$8:$M$666666=A54)*(企贷明细!$Q$8:$Q$666666&lt;设置!$J$23)*(企贷明细!$R$8:$R$666666&gt;设置!$H$24)*(企贷明细!$T$8:$T$666666&gt;设置!$H$24)*(企贷明细!$N$8:$N$666666))</f>
        <v>0</v>
      </c>
      <c r="D54" s="56">
        <f t="shared" si="26"/>
        <v>0</v>
      </c>
      <c r="E54" s="56">
        <f t="shared" si="27"/>
        <v>0</v>
      </c>
      <c r="F54" s="56">
        <f>SUMPRODUCT((个贷明细!$M$8:$M$666666=A54)*(个贷明细!$AU$8:$AU$666666))+SUMPRODUCT((企贷明细!$M$8:$M$666666=A54)*(企贷明细!$AY$8:$AY$666666))</f>
        <v>0</v>
      </c>
      <c r="G54" s="56">
        <f>SUMPRODUCT((个贷明细!$M$8:$M$666666=A54)*(个贷明细!$AV$8:$AV$666666))+SUMPRODUCT((企贷明细!$M$8:$M$666666=A54)*(企贷明细!$AZ$8:$AZ$666666))</f>
        <v>0</v>
      </c>
      <c r="H54" s="56">
        <f>SUMPRODUCT((个贷明细!$M$8:$M$666666=A54)*(个贷明细!$AW$8:$AW$666666))+SUMPRODUCT((企贷明细!$M$8:$M$666666=A54)*(企贷明细!$BA$8:$BA$666666))</f>
        <v>0</v>
      </c>
      <c r="I54" s="56">
        <f t="shared" si="28"/>
        <v>0</v>
      </c>
      <c r="J54" s="56">
        <f>SUMPRODUCT((企贷明细!$M$8:$M$666666=A54)*(企贷明细!$BB$8:$BB$666666))</f>
        <v>0</v>
      </c>
      <c r="K54" s="56">
        <f>SUMPRODUCT((个贷明细!$M$8:$M$666666=A54)*(个贷明细!$AY$8:$AY$666666))+SUMPRODUCT((企贷明细!$M$8:$M$666666=A54)*(企贷明细!$BC$8:$BC$666666))+SUMPRODUCT((企贷明细!$M$8:$M$666666=A54)*(企贷明细!$BE$8:$BE$666666))</f>
        <v>0</v>
      </c>
      <c r="L54"/>
      <c r="M54"/>
      <c r="N54"/>
      <c r="O54"/>
      <c r="P54"/>
      <c r="Q54"/>
      <c r="R54"/>
      <c r="S54"/>
      <c r="T54"/>
      <c r="U54"/>
      <c r="V54"/>
      <c r="W54"/>
    </row>
    <row r="55" ht="14.25" spans="1:23">
      <c r="A55" s="68" t="str">
        <f>'1季统计'!A55</f>
        <v>其他城商行</v>
      </c>
      <c r="B55" s="56">
        <f>SUMPRODUCT((个贷明细!$M$8:$M$666666=A55)*(个贷明细!$Q$8:$Q$666666&gt;=设置!$H$23)*(个贷明细!$Q$8:$Q$666666&lt;=设置!$H$24)*(个贷明细!$N$8:$N$666666))+SUMPRODUCT((企贷明细!$M$8:$M$666666=A55)*(企贷明细!$Q$8:$Q$666666&gt;=设置!$H$23)*(企贷明细!$Q$8:$Q$666666&lt;=设置!$H$24)*(企贷明细!$N$8:$N$666666))</f>
        <v>0</v>
      </c>
      <c r="C55" s="56">
        <f>SUMPRODUCT((个贷明细!$M$8:$M$666666=A55)*(个贷明细!$Q$8:$Q$666666&lt;设置!$J$23)*(个贷明细!$R$8:$R$666666&gt;设置!$H$24)*(个贷明细!$T$8:$T$666666=0)*(个贷明细!$N$8:$N$666666))+SUMPRODUCT((个贷明细!$M$8:$M$666666=A55)*(个贷明细!$Q$8:$Q$666666&lt;设置!$J$23)*(个贷明细!$R$8:$R$666666&gt;设置!$H$24)*(个贷明细!$T$8:$T$666666&gt;设置!$H$24)*(个贷明细!$N$8:$N$666666))+SUMPRODUCT((企贷明细!$M$8:$M$666666=A55)*(企贷明细!$Q$8:$Q$666666&lt;设置!$J$23)*(企贷明细!$R$8:$R$666666&gt;设置!$H$24)*(企贷明细!$T$8:$T$666666=0)*(企贷明细!$N$8:$N$666666))+SUMPRODUCT((企贷明细!$M$8:$M$666666=A55)*(企贷明细!$Q$8:$Q$666666&lt;设置!$J$23)*(企贷明细!$R$8:$R$666666&gt;设置!$H$24)*(企贷明细!$T$8:$T$666666&gt;设置!$H$24)*(企贷明细!$N$8:$N$666666))</f>
        <v>0</v>
      </c>
      <c r="D55" s="56">
        <f t="shared" si="26"/>
        <v>0</v>
      </c>
      <c r="E55" s="56">
        <f t="shared" si="27"/>
        <v>0</v>
      </c>
      <c r="F55" s="56">
        <f>SUMPRODUCT((个贷明细!$M$8:$M$666666=A55)*(个贷明细!$AU$8:$AU$666666))+SUMPRODUCT((企贷明细!$M$8:$M$666666=A55)*(企贷明细!$AY$8:$AY$666666))</f>
        <v>0</v>
      </c>
      <c r="G55" s="56">
        <f>SUMPRODUCT((个贷明细!$M$8:$M$666666=A55)*(个贷明细!$AV$8:$AV$666666))+SUMPRODUCT((企贷明细!$M$8:$M$666666=A55)*(企贷明细!$AZ$8:$AZ$666666))</f>
        <v>0</v>
      </c>
      <c r="H55" s="56">
        <f>SUMPRODUCT((个贷明细!$M$8:$M$666666=A55)*(个贷明细!$AW$8:$AW$666666))+SUMPRODUCT((企贷明细!$M$8:$M$666666=A55)*(企贷明细!$BA$8:$BA$666666))</f>
        <v>0</v>
      </c>
      <c r="I55" s="56">
        <f t="shared" si="28"/>
        <v>0</v>
      </c>
      <c r="J55" s="56">
        <f>SUMPRODUCT((企贷明细!$M$8:$M$666666=A55)*(企贷明细!$BB$8:$BB$666666))</f>
        <v>0</v>
      </c>
      <c r="K55" s="56">
        <f>SUMPRODUCT((个贷明细!$M$8:$M$666666=A55)*(个贷明细!$AY$8:$AY$666666))+SUMPRODUCT((企贷明细!$M$8:$M$666666=A55)*(企贷明细!$BC$8:$BC$666666))+SUMPRODUCT((企贷明细!$M$8:$M$666666=A55)*(企贷明细!$BE$8:$BE$666666))</f>
        <v>0</v>
      </c>
      <c r="L55"/>
      <c r="M55"/>
      <c r="N55"/>
      <c r="O55"/>
      <c r="P55"/>
      <c r="Q55"/>
      <c r="R55"/>
      <c r="S55"/>
      <c r="T55"/>
      <c r="U55"/>
      <c r="V55"/>
      <c r="W55"/>
    </row>
    <row r="56" ht="14.25" spans="1:23">
      <c r="A56" s="68" t="str">
        <f>'1季统计'!A56</f>
        <v>其他城商行2</v>
      </c>
      <c r="B56" s="56">
        <f>SUMPRODUCT((个贷明细!$M$8:$M$666666=A56)*(个贷明细!$Q$8:$Q$666666&gt;=设置!$H$23)*(个贷明细!$Q$8:$Q$666666&lt;=设置!$H$24)*(个贷明细!$N$8:$N$666666))+SUMPRODUCT((企贷明细!$M$8:$M$666666=A56)*(企贷明细!$Q$8:$Q$666666&gt;=设置!$H$23)*(企贷明细!$Q$8:$Q$666666&lt;=设置!$H$24)*(企贷明细!$N$8:$N$666666))</f>
        <v>0</v>
      </c>
      <c r="C56" s="56">
        <f>SUMPRODUCT((个贷明细!$M$8:$M$666666=A56)*(个贷明细!$Q$8:$Q$666666&lt;设置!$J$23)*(个贷明细!$R$8:$R$666666&gt;设置!$H$24)*(个贷明细!$T$8:$T$666666=0)*(个贷明细!$N$8:$N$666666))+SUMPRODUCT((个贷明细!$M$8:$M$666666=A56)*(个贷明细!$Q$8:$Q$666666&lt;设置!$J$23)*(个贷明细!$R$8:$R$666666&gt;设置!$H$24)*(个贷明细!$T$8:$T$666666&gt;设置!$H$24)*(个贷明细!$N$8:$N$666666))+SUMPRODUCT((企贷明细!$M$8:$M$666666=A56)*(企贷明细!$Q$8:$Q$666666&lt;设置!$J$23)*(企贷明细!$R$8:$R$666666&gt;设置!$H$24)*(企贷明细!$T$8:$T$666666=0)*(企贷明细!$N$8:$N$666666))+SUMPRODUCT((企贷明细!$M$8:$M$666666=A56)*(企贷明细!$Q$8:$Q$666666&lt;设置!$J$23)*(企贷明细!$R$8:$R$666666&gt;设置!$H$24)*(企贷明细!$T$8:$T$666666&gt;设置!$H$24)*(企贷明细!$N$8:$N$666666))</f>
        <v>0</v>
      </c>
      <c r="D56" s="56">
        <f t="shared" si="26"/>
        <v>0</v>
      </c>
      <c r="E56" s="56">
        <f t="shared" si="27"/>
        <v>0</v>
      </c>
      <c r="F56" s="56">
        <f>SUMPRODUCT((个贷明细!$M$8:$M$666666=A56)*(个贷明细!$AU$8:$AU$666666))+SUMPRODUCT((企贷明细!$M$8:$M$666666=A56)*(企贷明细!$AY$8:$AY$666666))</f>
        <v>0</v>
      </c>
      <c r="G56" s="56">
        <f>SUMPRODUCT((个贷明细!$M$8:$M$666666=A56)*(个贷明细!$AV$8:$AV$666666))+SUMPRODUCT((企贷明细!$M$8:$M$666666=A56)*(企贷明细!$AZ$8:$AZ$666666))</f>
        <v>0</v>
      </c>
      <c r="H56" s="56">
        <f>SUMPRODUCT((个贷明细!$M$8:$M$666666=A56)*(个贷明细!$AW$8:$AW$666666))+SUMPRODUCT((企贷明细!$M$8:$M$666666=A56)*(企贷明细!$BA$8:$BA$666666))</f>
        <v>0</v>
      </c>
      <c r="I56" s="56">
        <f t="shared" si="28"/>
        <v>0</v>
      </c>
      <c r="J56" s="56">
        <f>SUMPRODUCT((企贷明细!$M$8:$M$666666=A56)*(企贷明细!$BB$8:$BB$666666))</f>
        <v>0</v>
      </c>
      <c r="K56" s="56">
        <f>SUMPRODUCT((个贷明细!$M$8:$M$666666=A56)*(个贷明细!$AY$8:$AY$666666))+SUMPRODUCT((企贷明细!$M$8:$M$666666=A56)*(企贷明细!$BC$8:$BC$666666))+SUMPRODUCT((企贷明细!$M$8:$M$666666=A56)*(企贷明细!$BE$8:$BE$666666))</f>
        <v>0</v>
      </c>
      <c r="L56"/>
      <c r="M56"/>
      <c r="N56"/>
      <c r="O56"/>
      <c r="P56"/>
      <c r="Q56"/>
      <c r="R56"/>
      <c r="S56"/>
      <c r="T56"/>
      <c r="U56"/>
      <c r="V56"/>
      <c r="W56"/>
    </row>
    <row r="57" ht="14.25" spans="1:23">
      <c r="A57" s="68" t="str">
        <f>'1季统计'!A57</f>
        <v>其他城商行3</v>
      </c>
      <c r="B57" s="56">
        <f>SUMPRODUCT((个贷明细!$M$8:$M$666666=A57)*(个贷明细!$Q$8:$Q$666666&gt;=设置!$H$23)*(个贷明细!$Q$8:$Q$666666&lt;=设置!$H$24)*(个贷明细!$N$8:$N$666666))+SUMPRODUCT((企贷明细!$M$8:$M$666666=A57)*(企贷明细!$Q$8:$Q$666666&gt;=设置!$H$23)*(企贷明细!$Q$8:$Q$666666&lt;=设置!$H$24)*(企贷明细!$N$8:$N$666666))</f>
        <v>0</v>
      </c>
      <c r="C57" s="56">
        <f>SUMPRODUCT((个贷明细!$M$8:$M$666666=A57)*(个贷明细!$Q$8:$Q$666666&lt;设置!$J$23)*(个贷明细!$R$8:$R$666666&gt;设置!$H$24)*(个贷明细!$T$8:$T$666666=0)*(个贷明细!$N$8:$N$666666))+SUMPRODUCT((个贷明细!$M$8:$M$666666=A57)*(个贷明细!$Q$8:$Q$666666&lt;设置!$J$23)*(个贷明细!$R$8:$R$666666&gt;设置!$H$24)*(个贷明细!$T$8:$T$666666&gt;设置!$H$24)*(个贷明细!$N$8:$N$666666))+SUMPRODUCT((企贷明细!$M$8:$M$666666=A57)*(企贷明细!$Q$8:$Q$666666&lt;设置!$J$23)*(企贷明细!$R$8:$R$666666&gt;设置!$H$24)*(企贷明细!$T$8:$T$666666=0)*(企贷明细!$N$8:$N$666666))+SUMPRODUCT((企贷明细!$M$8:$M$666666=A57)*(企贷明细!$Q$8:$Q$666666&lt;设置!$J$23)*(企贷明细!$R$8:$R$666666&gt;设置!$H$24)*(企贷明细!$T$8:$T$666666&gt;设置!$H$24)*(企贷明细!$N$8:$N$666666))</f>
        <v>0</v>
      </c>
      <c r="D57" s="56">
        <f t="shared" si="26"/>
        <v>0</v>
      </c>
      <c r="E57" s="56">
        <f t="shared" si="27"/>
        <v>0</v>
      </c>
      <c r="F57" s="56">
        <f>SUMPRODUCT((个贷明细!$M$8:$M$666666=A57)*(个贷明细!$AU$8:$AU$666666))+SUMPRODUCT((企贷明细!$M$8:$M$666666=A57)*(企贷明细!$AY$8:$AY$666666))</f>
        <v>0</v>
      </c>
      <c r="G57" s="56">
        <f>SUMPRODUCT((个贷明细!$M$8:$M$666666=A57)*(个贷明细!$AV$8:$AV$666666))+SUMPRODUCT((企贷明细!$M$8:$M$666666=A57)*(企贷明细!$AZ$8:$AZ$666666))</f>
        <v>0</v>
      </c>
      <c r="H57" s="56">
        <f>SUMPRODUCT((个贷明细!$M$8:$M$666666=A57)*(个贷明细!$AW$8:$AW$666666))+SUMPRODUCT((企贷明细!$M$8:$M$666666=A57)*(企贷明细!$BA$8:$BA$666666))</f>
        <v>0</v>
      </c>
      <c r="I57" s="56">
        <f t="shared" si="28"/>
        <v>0</v>
      </c>
      <c r="J57" s="56">
        <f>SUMPRODUCT((企贷明细!$M$8:$M$666666=A57)*(企贷明细!$BB$8:$BB$666666))</f>
        <v>0</v>
      </c>
      <c r="K57" s="56">
        <f>SUMPRODUCT((个贷明细!$M$8:$M$666666=A57)*(个贷明细!$AY$8:$AY$666666))+SUMPRODUCT((企贷明细!$M$8:$M$666666=A57)*(企贷明细!$BC$8:$BC$666666))+SUMPRODUCT((企贷明细!$M$8:$M$666666=A57)*(企贷明细!$BE$8:$BE$666666))</f>
        <v>0</v>
      </c>
      <c r="L57"/>
      <c r="M57"/>
      <c r="N57"/>
      <c r="O57"/>
      <c r="P57"/>
      <c r="Q57"/>
      <c r="R57"/>
      <c r="S57"/>
      <c r="T57"/>
      <c r="U57"/>
      <c r="V57"/>
      <c r="W57"/>
    </row>
    <row r="58" ht="14.25" spans="1:23">
      <c r="A58" s="68" t="str">
        <f>'1季统计'!A58</f>
        <v>农商行</v>
      </c>
      <c r="B58" s="56">
        <f>SUMPRODUCT((个贷明细!$M$8:$M$666666=A58)*(个贷明细!$Q$8:$Q$666666&gt;=设置!$H$23)*(个贷明细!$Q$8:$Q$666666&lt;=设置!$H$24)*(个贷明细!$N$8:$N$666666))+SUMPRODUCT((企贷明细!$M$8:$M$666666=A58)*(企贷明细!$Q$8:$Q$666666&gt;=设置!$H$23)*(企贷明细!$Q$8:$Q$666666&lt;=设置!$H$24)*(企贷明细!$N$8:$N$666666))</f>
        <v>0</v>
      </c>
      <c r="C58" s="56">
        <f>SUMPRODUCT((个贷明细!$M$8:$M$666666=A58)*(个贷明细!$Q$8:$Q$666666&lt;设置!$J$23)*(个贷明细!$R$8:$R$666666&gt;设置!$H$24)*(个贷明细!$T$8:$T$666666=0)*(个贷明细!$N$8:$N$666666))+SUMPRODUCT((个贷明细!$M$8:$M$666666=A58)*(个贷明细!$Q$8:$Q$666666&lt;设置!$J$23)*(个贷明细!$R$8:$R$666666&gt;设置!$H$24)*(个贷明细!$T$8:$T$666666&gt;设置!$H$24)*(个贷明细!$N$8:$N$666666))+SUMPRODUCT((企贷明细!$M$8:$M$666666=A58)*(企贷明细!$Q$8:$Q$666666&lt;设置!$J$23)*(企贷明细!$R$8:$R$666666&gt;设置!$H$24)*(企贷明细!$T$8:$T$666666=0)*(企贷明细!$N$8:$N$666666))+SUMPRODUCT((企贷明细!$M$8:$M$666666=A58)*(企贷明细!$Q$8:$Q$666666&lt;设置!$J$23)*(企贷明细!$R$8:$R$666666&gt;设置!$H$24)*(企贷明细!$T$8:$T$666666&gt;设置!$H$24)*(企贷明细!$N$8:$N$666666))</f>
        <v>0</v>
      </c>
      <c r="D58" s="56">
        <f t="shared" si="26"/>
        <v>0</v>
      </c>
      <c r="E58" s="56">
        <f t="shared" si="27"/>
        <v>0</v>
      </c>
      <c r="F58" s="56">
        <f>SUMPRODUCT((个贷明细!$M$8:$M$666666=A58)*(个贷明细!$AU$8:$AU$666666))+SUMPRODUCT((企贷明细!$M$8:$M$666666=A58)*(企贷明细!$AY$8:$AY$666666))</f>
        <v>0</v>
      </c>
      <c r="G58" s="56">
        <f>SUMPRODUCT((个贷明细!$M$8:$M$666666=A58)*(个贷明细!$AV$8:$AV$666666))+SUMPRODUCT((企贷明细!$M$8:$M$666666=A58)*(企贷明细!$AZ$8:$AZ$666666))</f>
        <v>0</v>
      </c>
      <c r="H58" s="56">
        <f>SUMPRODUCT((个贷明细!$M$8:$M$666666=A58)*(个贷明细!$AW$8:$AW$666666))+SUMPRODUCT((企贷明细!$M$8:$M$666666=A58)*(企贷明细!$BA$8:$BA$666666))</f>
        <v>0</v>
      </c>
      <c r="I58" s="56">
        <f t="shared" si="28"/>
        <v>0</v>
      </c>
      <c r="J58" s="56">
        <f>SUMPRODUCT((企贷明细!$M$8:$M$666666=A58)*(企贷明细!$BB$8:$BB$666666))</f>
        <v>0</v>
      </c>
      <c r="K58" s="56">
        <f>SUMPRODUCT((个贷明细!$M$8:$M$666666=A58)*(个贷明细!$AY$8:$AY$666666))+SUMPRODUCT((企贷明细!$M$8:$M$666666=A58)*(企贷明细!$BC$8:$BC$666666))+SUMPRODUCT((企贷明细!$M$8:$M$666666=A58)*(企贷明细!$BE$8:$BE$666666))</f>
        <v>0</v>
      </c>
      <c r="L58"/>
      <c r="M58"/>
      <c r="N58"/>
      <c r="O58"/>
      <c r="P58"/>
      <c r="Q58"/>
      <c r="R58"/>
      <c r="S58"/>
      <c r="T58"/>
      <c r="U58"/>
      <c r="V58"/>
      <c r="W58"/>
    </row>
    <row r="59" ht="14.25" spans="1:23">
      <c r="A59" s="68" t="str">
        <f>'1季统计'!A59</f>
        <v>国开行</v>
      </c>
      <c r="B59" s="56">
        <f>SUMPRODUCT((个贷明细!$M$8:$M$666666=A59)*(个贷明细!$Q$8:$Q$666666&gt;=设置!$H$23)*(个贷明细!$Q$8:$Q$666666&lt;=设置!$H$24)*(个贷明细!$N$8:$N$666666))+SUMPRODUCT((企贷明细!$M$8:$M$666666=A59)*(企贷明细!$Q$8:$Q$666666&gt;=设置!$H$23)*(企贷明细!$Q$8:$Q$666666&lt;=设置!$H$24)*(企贷明细!$N$8:$N$666666))</f>
        <v>0</v>
      </c>
      <c r="C59" s="56">
        <f>SUMPRODUCT((个贷明细!$M$8:$M$666666=A59)*(个贷明细!$Q$8:$Q$666666&lt;设置!$J$23)*(个贷明细!$R$8:$R$666666&gt;设置!$H$24)*(个贷明细!$T$8:$T$666666=0)*(个贷明细!$N$8:$N$666666))+SUMPRODUCT((个贷明细!$M$8:$M$666666=A59)*(个贷明细!$Q$8:$Q$666666&lt;设置!$J$23)*(个贷明细!$R$8:$R$666666&gt;设置!$H$24)*(个贷明细!$T$8:$T$666666&gt;设置!$H$24)*(个贷明细!$N$8:$N$666666))+SUMPRODUCT((企贷明细!$M$8:$M$666666=A59)*(企贷明细!$Q$8:$Q$666666&lt;设置!$J$23)*(企贷明细!$R$8:$R$666666&gt;设置!$H$24)*(企贷明细!$T$8:$T$666666=0)*(企贷明细!$N$8:$N$666666))+SUMPRODUCT((企贷明细!$M$8:$M$666666=A59)*(企贷明细!$Q$8:$Q$666666&lt;设置!$J$23)*(企贷明细!$R$8:$R$666666&gt;设置!$H$24)*(企贷明细!$T$8:$T$666666&gt;设置!$H$24)*(企贷明细!$N$8:$N$666666))</f>
        <v>0</v>
      </c>
      <c r="D59" s="56">
        <f t="shared" si="26"/>
        <v>0</v>
      </c>
      <c r="E59" s="56">
        <f t="shared" si="27"/>
        <v>0</v>
      </c>
      <c r="F59" s="56">
        <f>SUMPRODUCT((个贷明细!$M$8:$M$666666=A59)*(个贷明细!$AU$8:$AU$666666))+SUMPRODUCT((企贷明细!$M$8:$M$666666=A59)*(企贷明细!$AY$8:$AY$666666))</f>
        <v>0</v>
      </c>
      <c r="G59" s="56">
        <f>SUMPRODUCT((个贷明细!$M$8:$M$666666=A59)*(个贷明细!$AV$8:$AV$666666))+SUMPRODUCT((企贷明细!$M$8:$M$666666=A59)*(企贷明细!$AZ$8:$AZ$666666))</f>
        <v>0</v>
      </c>
      <c r="H59" s="56">
        <f>SUMPRODUCT((个贷明细!$M$8:$M$666666=A59)*(个贷明细!$AW$8:$AW$666666))+SUMPRODUCT((企贷明细!$M$8:$M$666666=A59)*(企贷明细!$BA$8:$BA$666666))</f>
        <v>0</v>
      </c>
      <c r="I59" s="56">
        <f t="shared" si="28"/>
        <v>0</v>
      </c>
      <c r="J59" s="56">
        <f>SUMPRODUCT((企贷明细!$M$8:$M$666666=A59)*(企贷明细!$BB$8:$BB$666666))</f>
        <v>0</v>
      </c>
      <c r="K59" s="56">
        <f>SUMPRODUCT((个贷明细!$M$8:$M$666666=A59)*(个贷明细!$AY$8:$AY$666666))+SUMPRODUCT((企贷明细!$M$8:$M$666666=A59)*(企贷明细!$BC$8:$BC$666666))+SUMPRODUCT((企贷明细!$M$8:$M$666666=A59)*(企贷明细!$BE$8:$BE$666666))</f>
        <v>0</v>
      </c>
      <c r="L59"/>
      <c r="M59"/>
      <c r="N59"/>
      <c r="O59"/>
      <c r="P59"/>
      <c r="Q59"/>
      <c r="R59"/>
      <c r="S59"/>
      <c r="T59"/>
      <c r="U59"/>
      <c r="V59"/>
      <c r="W59"/>
    </row>
    <row r="60" ht="14.25" spans="1:23">
      <c r="A60" s="68" t="str">
        <f>'1季统计'!A60</f>
        <v>进出口行</v>
      </c>
      <c r="B60" s="56">
        <f>SUMPRODUCT((个贷明细!$M$8:$M$666666=A60)*(个贷明细!$Q$8:$Q$666666&gt;=设置!$H$23)*(个贷明细!$Q$8:$Q$666666&lt;=设置!$H$24)*(个贷明细!$N$8:$N$666666))+SUMPRODUCT((企贷明细!$M$8:$M$666666=A60)*(企贷明细!$Q$8:$Q$666666&gt;=设置!$H$23)*(企贷明细!$Q$8:$Q$666666&lt;=设置!$H$24)*(企贷明细!$N$8:$N$666666))</f>
        <v>0</v>
      </c>
      <c r="C60" s="56">
        <f>SUMPRODUCT((个贷明细!$M$8:$M$666666=A60)*(个贷明细!$Q$8:$Q$666666&lt;设置!$J$23)*(个贷明细!$R$8:$R$666666&gt;设置!$H$24)*(个贷明细!$T$8:$T$666666=0)*(个贷明细!$N$8:$N$666666))+SUMPRODUCT((个贷明细!$M$8:$M$666666=A60)*(个贷明细!$Q$8:$Q$666666&lt;设置!$J$23)*(个贷明细!$R$8:$R$666666&gt;设置!$H$24)*(个贷明细!$T$8:$T$666666&gt;设置!$H$24)*(个贷明细!$N$8:$N$666666))+SUMPRODUCT((企贷明细!$M$8:$M$666666=A60)*(企贷明细!$Q$8:$Q$666666&lt;设置!$J$23)*(企贷明细!$R$8:$R$666666&gt;设置!$H$24)*(企贷明细!$T$8:$T$666666=0)*(企贷明细!$N$8:$N$666666))+SUMPRODUCT((企贷明细!$M$8:$M$666666=A60)*(企贷明细!$Q$8:$Q$666666&lt;设置!$J$23)*(企贷明细!$R$8:$R$666666&gt;设置!$H$24)*(企贷明细!$T$8:$T$666666&gt;设置!$H$24)*(企贷明细!$N$8:$N$666666))</f>
        <v>0</v>
      </c>
      <c r="D60" s="56">
        <f t="shared" si="26"/>
        <v>0</v>
      </c>
      <c r="E60" s="56">
        <f t="shared" si="27"/>
        <v>0</v>
      </c>
      <c r="F60" s="56">
        <f>SUMPRODUCT((个贷明细!$M$8:$M$666666=A60)*(个贷明细!$AU$8:$AU$666666))+SUMPRODUCT((企贷明细!$M$8:$M$666666=A60)*(企贷明细!$AY$8:$AY$666666))</f>
        <v>0</v>
      </c>
      <c r="G60" s="56">
        <f>SUMPRODUCT((个贷明细!$M$8:$M$666666=A60)*(个贷明细!$AV$8:$AV$666666))+SUMPRODUCT((企贷明细!$M$8:$M$666666=A60)*(企贷明细!$AZ$8:$AZ$666666))</f>
        <v>0</v>
      </c>
      <c r="H60" s="56">
        <f>SUMPRODUCT((个贷明细!$M$8:$M$666666=A60)*(个贷明细!$AW$8:$AW$666666))+SUMPRODUCT((企贷明细!$M$8:$M$666666=A60)*(企贷明细!$BA$8:$BA$666666))</f>
        <v>0</v>
      </c>
      <c r="I60" s="56">
        <f t="shared" si="28"/>
        <v>0</v>
      </c>
      <c r="J60" s="56">
        <f>SUMPRODUCT((企贷明细!$M$8:$M$666666=A60)*(企贷明细!$BB$8:$BB$666666))</f>
        <v>0</v>
      </c>
      <c r="K60" s="56">
        <f>SUMPRODUCT((个贷明细!$M$8:$M$666666=A60)*(个贷明细!$AY$8:$AY$666666))+SUMPRODUCT((企贷明细!$M$8:$M$666666=A60)*(企贷明细!$BC$8:$BC$666666))+SUMPRODUCT((企贷明细!$M$8:$M$666666=A60)*(企贷明细!$BE$8:$BE$666666))</f>
        <v>0</v>
      </c>
      <c r="L60"/>
      <c r="M60"/>
      <c r="N60"/>
      <c r="O60"/>
      <c r="P60"/>
      <c r="Q60"/>
      <c r="R60"/>
      <c r="S60"/>
      <c r="T60"/>
      <c r="U60"/>
      <c r="V60"/>
      <c r="W60"/>
    </row>
    <row r="61" ht="14.25" spans="1:23">
      <c r="A61" s="68" t="str">
        <f>'1季统计'!A61</f>
        <v>农发行</v>
      </c>
      <c r="B61" s="56">
        <f>SUMPRODUCT((个贷明细!$M$8:$M$666666=A61)*(个贷明细!$Q$8:$Q$666666&gt;=设置!$H$23)*(个贷明细!$Q$8:$Q$666666&lt;=设置!$H$24)*(个贷明细!$N$8:$N$666666))+SUMPRODUCT((企贷明细!$M$8:$M$666666=A61)*(企贷明细!$Q$8:$Q$666666&gt;=设置!$H$23)*(企贷明细!$Q$8:$Q$666666&lt;=设置!$H$24)*(企贷明细!$N$8:$N$666666))</f>
        <v>0</v>
      </c>
      <c r="C61" s="56">
        <f>SUMPRODUCT((个贷明细!$M$8:$M$666666=A61)*(个贷明细!$Q$8:$Q$666666&lt;设置!$J$23)*(个贷明细!$R$8:$R$666666&gt;设置!$H$24)*(个贷明细!$T$8:$T$666666=0)*(个贷明细!$N$8:$N$666666))+SUMPRODUCT((个贷明细!$M$8:$M$666666=A61)*(个贷明细!$Q$8:$Q$666666&lt;设置!$J$23)*(个贷明细!$R$8:$R$666666&gt;设置!$H$24)*(个贷明细!$T$8:$T$666666&gt;设置!$H$24)*(个贷明细!$N$8:$N$666666))+SUMPRODUCT((企贷明细!$M$8:$M$666666=A61)*(企贷明细!$Q$8:$Q$666666&lt;设置!$J$23)*(企贷明细!$R$8:$R$666666&gt;设置!$H$24)*(企贷明细!$T$8:$T$666666=0)*(企贷明细!$N$8:$N$666666))+SUMPRODUCT((企贷明细!$M$8:$M$666666=A61)*(企贷明细!$Q$8:$Q$666666&lt;设置!$J$23)*(企贷明细!$R$8:$R$666666&gt;设置!$H$24)*(企贷明细!$T$8:$T$666666&gt;设置!$H$24)*(企贷明细!$N$8:$N$666666))</f>
        <v>0</v>
      </c>
      <c r="D61" s="56">
        <f t="shared" si="26"/>
        <v>0</v>
      </c>
      <c r="E61" s="56">
        <f t="shared" si="27"/>
        <v>0</v>
      </c>
      <c r="F61" s="56">
        <f>SUMPRODUCT((个贷明细!$M$8:$M$666666=A61)*(个贷明细!$AU$8:$AU$666666))+SUMPRODUCT((企贷明细!$M$8:$M$666666=A61)*(企贷明细!$AY$8:$AY$666666))</f>
        <v>0</v>
      </c>
      <c r="G61" s="56">
        <f>SUMPRODUCT((个贷明细!$M$8:$M$666666=A61)*(个贷明细!$AV$8:$AV$666666))+SUMPRODUCT((企贷明细!$M$8:$M$666666=A61)*(企贷明细!$AZ$8:$AZ$666666))</f>
        <v>0</v>
      </c>
      <c r="H61" s="56">
        <f>SUMPRODUCT((个贷明细!$M$8:$M$666666=A61)*(个贷明细!$AW$8:$AW$666666))+SUMPRODUCT((企贷明细!$M$8:$M$666666=A61)*(企贷明细!$BA$8:$BA$666666))</f>
        <v>0</v>
      </c>
      <c r="I61" s="56">
        <f t="shared" si="28"/>
        <v>0</v>
      </c>
      <c r="J61" s="56">
        <f>SUMPRODUCT((企贷明细!$M$8:$M$666666=A61)*(企贷明细!$BB$8:$BB$666666))</f>
        <v>0</v>
      </c>
      <c r="K61" s="56">
        <f>SUMPRODUCT((个贷明细!$M$8:$M$666666=A61)*(个贷明细!$AY$8:$AY$666666))+SUMPRODUCT((企贷明细!$M$8:$M$666666=A61)*(企贷明细!$BC$8:$BC$666666))+SUMPRODUCT((企贷明细!$M$8:$M$666666=A61)*(企贷明细!$BE$8:$BE$666666))</f>
        <v>0</v>
      </c>
      <c r="L61"/>
      <c r="M61"/>
      <c r="N61"/>
      <c r="O61"/>
      <c r="P61"/>
      <c r="Q61"/>
      <c r="R61"/>
      <c r="S61"/>
      <c r="T61"/>
      <c r="U61"/>
      <c r="V61"/>
      <c r="W61"/>
    </row>
    <row r="62" ht="14.25" spans="1:23">
      <c r="A62" s="68" t="str">
        <f>'1季统计'!A62</f>
        <v>其他银行</v>
      </c>
      <c r="B62" s="56">
        <f>SUMPRODUCT((个贷明细!$M$8:$M$666666=A62)*(个贷明细!$Q$8:$Q$666666&gt;=设置!$H$23)*(个贷明细!$Q$8:$Q$666666&lt;=设置!$H$24)*(个贷明细!$N$8:$N$666666))+SUMPRODUCT((企贷明细!$M$8:$M$666666=A62)*(企贷明细!$Q$8:$Q$666666&gt;=设置!$H$23)*(企贷明细!$Q$8:$Q$666666&lt;=设置!$H$24)*(企贷明细!$N$8:$N$666666))</f>
        <v>0</v>
      </c>
      <c r="C62" s="56">
        <f>SUMPRODUCT((个贷明细!$M$8:$M$666666=A62)*(个贷明细!$Q$8:$Q$666666&lt;设置!$J$23)*(个贷明细!$R$8:$R$666666&gt;设置!$H$24)*(个贷明细!$T$8:$T$666666=0)*(个贷明细!$N$8:$N$666666))+SUMPRODUCT((个贷明细!$M$8:$M$666666=A62)*(个贷明细!$Q$8:$Q$666666&lt;设置!$J$23)*(个贷明细!$R$8:$R$666666&gt;设置!$H$24)*(个贷明细!$T$8:$T$666666&gt;设置!$H$24)*(个贷明细!$N$8:$N$666666))+SUMPRODUCT((企贷明细!$M$8:$M$666666=A62)*(企贷明细!$Q$8:$Q$666666&lt;设置!$J$23)*(企贷明细!$R$8:$R$666666&gt;设置!$H$24)*(企贷明细!$T$8:$T$666666=0)*(企贷明细!$N$8:$N$666666))+SUMPRODUCT((企贷明细!$M$8:$M$666666=A62)*(企贷明细!$Q$8:$Q$666666&lt;设置!$J$23)*(企贷明细!$R$8:$R$666666&gt;设置!$H$24)*(企贷明细!$T$8:$T$666666&gt;设置!$H$24)*(企贷明细!$N$8:$N$666666))</f>
        <v>0</v>
      </c>
      <c r="D62" s="56">
        <f t="shared" si="26"/>
        <v>0</v>
      </c>
      <c r="E62" s="56">
        <f t="shared" si="27"/>
        <v>0</v>
      </c>
      <c r="F62" s="56">
        <f>SUMPRODUCT((个贷明细!$M$8:$M$666666=A62)*(个贷明细!$AU$8:$AU$666666))+SUMPRODUCT((企贷明细!$M$8:$M$666666=A62)*(企贷明细!$AY$8:$AY$666666))</f>
        <v>0</v>
      </c>
      <c r="G62" s="56">
        <f>SUMPRODUCT((个贷明细!$M$8:$M$666666=A62)*(个贷明细!$AV$8:$AV$666666))+SUMPRODUCT((企贷明细!$M$8:$M$666666=A62)*(企贷明细!$AZ$8:$AZ$666666))</f>
        <v>0</v>
      </c>
      <c r="H62" s="56">
        <f>SUMPRODUCT((个贷明细!$M$8:$M$666666=A62)*(个贷明细!$AW$8:$AW$666666))+SUMPRODUCT((企贷明细!$M$8:$M$666666=A62)*(企贷明细!$BA$8:$BA$666666))</f>
        <v>0</v>
      </c>
      <c r="I62" s="56">
        <f t="shared" si="28"/>
        <v>0</v>
      </c>
      <c r="J62" s="56">
        <f>SUMPRODUCT((企贷明细!$M$8:$M$666666=A62)*(企贷明细!$BB$8:$BB$666666))</f>
        <v>0</v>
      </c>
      <c r="K62" s="56">
        <f>SUMPRODUCT((个贷明细!$M$8:$M$666666=A62)*(个贷明细!$AY$8:$AY$666666))+SUMPRODUCT((企贷明细!$M$8:$M$666666=A62)*(企贷明细!$BC$8:$BC$666666))+SUMPRODUCT((企贷明细!$M$8:$M$666666=A62)*(企贷明细!$BE$8:$BE$666666))</f>
        <v>0</v>
      </c>
      <c r="L62"/>
      <c r="M62"/>
      <c r="N62"/>
      <c r="O62"/>
      <c r="P62"/>
      <c r="Q62"/>
      <c r="R62"/>
      <c r="S62"/>
      <c r="T62"/>
      <c r="U62"/>
      <c r="V62"/>
      <c r="W62"/>
    </row>
    <row r="63" ht="14.25" spans="1:23">
      <c r="A63" s="68" t="str">
        <f>'1季统计'!A63</f>
        <v>其他银行2</v>
      </c>
      <c r="B63" s="56">
        <f>SUMPRODUCT((个贷明细!$M$8:$M$666666=A63)*(个贷明细!$Q$8:$Q$666666&gt;=设置!$H$23)*(个贷明细!$Q$8:$Q$666666&lt;=设置!$H$24)*(个贷明细!$N$8:$N$666666))+SUMPRODUCT((企贷明细!$M$8:$M$666666=A63)*(企贷明细!$Q$8:$Q$666666&gt;=设置!$H$23)*(企贷明细!$Q$8:$Q$666666&lt;=设置!$H$24)*(企贷明细!$N$8:$N$666666))</f>
        <v>0</v>
      </c>
      <c r="C63" s="56">
        <f>SUMPRODUCT((个贷明细!$M$8:$M$666666=A63)*(个贷明细!$Q$8:$Q$666666&lt;设置!$J$23)*(个贷明细!$R$8:$R$666666&gt;设置!$H$24)*(个贷明细!$T$8:$T$666666=0)*(个贷明细!$N$8:$N$666666))+SUMPRODUCT((个贷明细!$M$8:$M$666666=A63)*(个贷明细!$Q$8:$Q$666666&lt;设置!$J$23)*(个贷明细!$R$8:$R$666666&gt;设置!$H$24)*(个贷明细!$T$8:$T$666666&gt;设置!$H$24)*(个贷明细!$N$8:$N$666666))+SUMPRODUCT((企贷明细!$M$8:$M$666666=A63)*(企贷明细!$Q$8:$Q$666666&lt;设置!$J$23)*(企贷明细!$R$8:$R$666666&gt;设置!$H$24)*(企贷明细!$T$8:$T$666666=0)*(企贷明细!$N$8:$N$666666))+SUMPRODUCT((企贷明细!$M$8:$M$666666=A63)*(企贷明细!$Q$8:$Q$666666&lt;设置!$J$23)*(企贷明细!$R$8:$R$666666&gt;设置!$H$24)*(企贷明细!$T$8:$T$666666&gt;设置!$H$24)*(企贷明细!$N$8:$N$666666))</f>
        <v>0</v>
      </c>
      <c r="D63" s="56">
        <f t="shared" si="26"/>
        <v>0</v>
      </c>
      <c r="E63" s="56">
        <f t="shared" si="27"/>
        <v>0</v>
      </c>
      <c r="F63" s="56">
        <f>SUMPRODUCT((个贷明细!$M$8:$M$666666=A63)*(个贷明细!$AU$8:$AU$666666))+SUMPRODUCT((企贷明细!$M$8:$M$666666=A63)*(企贷明细!$AY$8:$AY$666666))</f>
        <v>0</v>
      </c>
      <c r="G63" s="56">
        <f>SUMPRODUCT((个贷明细!$M$8:$M$666666=A63)*(个贷明细!$AV$8:$AV$666666))+SUMPRODUCT((企贷明细!$M$8:$M$666666=A63)*(企贷明细!$AZ$8:$AZ$666666))</f>
        <v>0</v>
      </c>
      <c r="H63" s="56">
        <f>SUMPRODUCT((个贷明细!$M$8:$M$666666=A63)*(个贷明细!$AW$8:$AW$666666))+SUMPRODUCT((企贷明细!$M$8:$M$666666=A63)*(企贷明细!$BA$8:$BA$666666))</f>
        <v>0</v>
      </c>
      <c r="I63" s="56">
        <f t="shared" si="28"/>
        <v>0</v>
      </c>
      <c r="J63" s="56">
        <f>SUMPRODUCT((企贷明细!$M$8:$M$666666=A63)*(企贷明细!$BB$8:$BB$666666))</f>
        <v>0</v>
      </c>
      <c r="K63" s="56">
        <f>SUMPRODUCT((个贷明细!$M$8:$M$666666=A63)*(个贷明细!$AY$8:$AY$666666))+SUMPRODUCT((企贷明细!$M$8:$M$666666=A63)*(企贷明细!$BC$8:$BC$666666))+SUMPRODUCT((企贷明细!$M$8:$M$666666=A63)*(企贷明细!$BE$8:$BE$666666))</f>
        <v>0</v>
      </c>
      <c r="L63"/>
      <c r="M63"/>
      <c r="N63"/>
      <c r="O63"/>
      <c r="P63"/>
      <c r="Q63"/>
      <c r="R63"/>
      <c r="S63"/>
      <c r="T63"/>
      <c r="U63"/>
      <c r="V63"/>
      <c r="W63"/>
    </row>
    <row r="64" ht="14.25" spans="1:23">
      <c r="A64" s="68" t="str">
        <f>'1季统计'!A64</f>
        <v>其他银行3</v>
      </c>
      <c r="B64" s="56">
        <f>SUMPRODUCT((个贷明细!$M$8:$M$666666=A64)*(个贷明细!$Q$8:$Q$666666&gt;=设置!$H$23)*(个贷明细!$Q$8:$Q$666666&lt;=设置!$H$24)*(个贷明细!$N$8:$N$666666))+SUMPRODUCT((企贷明细!$M$8:$M$666666=A64)*(企贷明细!$Q$8:$Q$666666&gt;=设置!$H$23)*(企贷明细!$Q$8:$Q$666666&lt;=设置!$H$24)*(企贷明细!$N$8:$N$666666))</f>
        <v>0</v>
      </c>
      <c r="C64" s="56">
        <f>SUMPRODUCT((个贷明细!$M$8:$M$666666=A64)*(个贷明细!$Q$8:$Q$666666&lt;设置!$J$23)*(个贷明细!$R$8:$R$666666&gt;设置!$H$24)*(个贷明细!$T$8:$T$666666=0)*(个贷明细!$N$8:$N$666666))+SUMPRODUCT((个贷明细!$M$8:$M$666666=A64)*(个贷明细!$Q$8:$Q$666666&lt;设置!$J$23)*(个贷明细!$R$8:$R$666666&gt;设置!$H$24)*(个贷明细!$T$8:$T$666666&gt;设置!$H$24)*(个贷明细!$N$8:$N$666666))+SUMPRODUCT((企贷明细!$M$8:$M$666666=A64)*(企贷明细!$Q$8:$Q$666666&lt;设置!$J$23)*(企贷明细!$R$8:$R$666666&gt;设置!$H$24)*(企贷明细!$T$8:$T$666666=0)*(企贷明细!$N$8:$N$666666))+SUMPRODUCT((企贷明细!$M$8:$M$666666=A64)*(企贷明细!$Q$8:$Q$666666&lt;设置!$J$23)*(企贷明细!$R$8:$R$666666&gt;设置!$H$24)*(企贷明细!$T$8:$T$666666&gt;设置!$H$24)*(企贷明细!$N$8:$N$666666))</f>
        <v>0</v>
      </c>
      <c r="D64" s="56">
        <f t="shared" si="26"/>
        <v>0</v>
      </c>
      <c r="E64" s="56">
        <f t="shared" si="27"/>
        <v>0</v>
      </c>
      <c r="F64" s="56">
        <f>SUMPRODUCT((个贷明细!$M$8:$M$666666=A64)*(个贷明细!$AU$8:$AU$666666))+SUMPRODUCT((企贷明细!$M$8:$M$666666=A64)*(企贷明细!$AY$8:$AY$666666))</f>
        <v>0</v>
      </c>
      <c r="G64" s="56">
        <f>SUMPRODUCT((个贷明细!$M$8:$M$666666=A64)*(个贷明细!$AV$8:$AV$666666))+SUMPRODUCT((企贷明细!$M$8:$M$666666=A64)*(企贷明细!$AZ$8:$AZ$666666))</f>
        <v>0</v>
      </c>
      <c r="H64" s="56">
        <f>SUMPRODUCT((个贷明细!$M$8:$M$666666=A64)*(个贷明细!$AW$8:$AW$666666))+SUMPRODUCT((企贷明细!$M$8:$M$666666=A64)*(企贷明细!$BA$8:$BA$666666))</f>
        <v>0</v>
      </c>
      <c r="I64" s="56">
        <f t="shared" si="28"/>
        <v>0</v>
      </c>
      <c r="J64" s="56">
        <f>SUMPRODUCT((企贷明细!$M$8:$M$666666=A64)*(企贷明细!$BB$8:$BB$666666))</f>
        <v>0</v>
      </c>
      <c r="K64" s="56">
        <f>SUMPRODUCT((个贷明细!$M$8:$M$666666=A64)*(个贷明细!$AY$8:$AY$666666))+SUMPRODUCT((企贷明细!$M$8:$M$666666=A64)*(企贷明细!$BC$8:$BC$666666))+SUMPRODUCT((企贷明细!$M$8:$M$666666=A64)*(企贷明细!$BE$8:$BE$666666))</f>
        <v>0</v>
      </c>
      <c r="L64"/>
      <c r="M64"/>
      <c r="N64"/>
      <c r="O64"/>
      <c r="P64"/>
      <c r="Q64"/>
      <c r="R64"/>
      <c r="S64"/>
      <c r="T64"/>
      <c r="U64"/>
      <c r="V64"/>
      <c r="W64"/>
    </row>
  </sheetData>
  <sheetProtection password="CB92" sheet="1" formatColumns="0" objects="1"/>
  <mergeCells count="61">
    <mergeCell ref="B3:D3"/>
    <mergeCell ref="E3:M3"/>
    <mergeCell ref="N3:P3"/>
    <mergeCell ref="E4:G4"/>
    <mergeCell ref="H4:J4"/>
    <mergeCell ref="K4:M4"/>
    <mergeCell ref="B11:D11"/>
    <mergeCell ref="E11:M11"/>
    <mergeCell ref="E12:G12"/>
    <mergeCell ref="H12:J12"/>
    <mergeCell ref="K12:M12"/>
    <mergeCell ref="B19:W19"/>
    <mergeCell ref="B20:I20"/>
    <mergeCell ref="J20:O20"/>
    <mergeCell ref="P20:W20"/>
    <mergeCell ref="C21:F21"/>
    <mergeCell ref="G21:I21"/>
    <mergeCell ref="K21:N21"/>
    <mergeCell ref="Q21:T21"/>
    <mergeCell ref="U21:W21"/>
    <mergeCell ref="D31:K31"/>
    <mergeCell ref="E32:H32"/>
    <mergeCell ref="I32:K32"/>
    <mergeCell ref="A3:A6"/>
    <mergeCell ref="A11:A14"/>
    <mergeCell ref="A19:A22"/>
    <mergeCell ref="A31:A33"/>
    <mergeCell ref="B4:B6"/>
    <mergeCell ref="B12:B14"/>
    <mergeCell ref="B21:B22"/>
    <mergeCell ref="B31:B33"/>
    <mergeCell ref="C4:C6"/>
    <mergeCell ref="C12:C14"/>
    <mergeCell ref="C31:C33"/>
    <mergeCell ref="D4:D6"/>
    <mergeCell ref="D12:D14"/>
    <mergeCell ref="D32:D33"/>
    <mergeCell ref="E5:E6"/>
    <mergeCell ref="E13:E14"/>
    <mergeCell ref="F5:F6"/>
    <mergeCell ref="F13:F14"/>
    <mergeCell ref="G5:G6"/>
    <mergeCell ref="G13:G14"/>
    <mergeCell ref="H5:H6"/>
    <mergeCell ref="H13:H14"/>
    <mergeCell ref="I5:I6"/>
    <mergeCell ref="I13:I14"/>
    <mergeCell ref="J5:J6"/>
    <mergeCell ref="J13:J14"/>
    <mergeCell ref="J21:J22"/>
    <mergeCell ref="K5:K6"/>
    <mergeCell ref="K13:K14"/>
    <mergeCell ref="L5:L6"/>
    <mergeCell ref="L13:L14"/>
    <mergeCell ref="M5:M6"/>
    <mergeCell ref="M13:M14"/>
    <mergeCell ref="N5:N6"/>
    <mergeCell ref="O5:O6"/>
    <mergeCell ref="O21:O22"/>
    <mergeCell ref="P5:P6"/>
    <mergeCell ref="P21:P22"/>
  </mergeCells>
  <pageMargins left="0.751388888888889" right="0.751388888888889" top="1" bottom="1" header="0.5" footer="0.5"/>
  <pageSetup paperSize="9" scale="65" orientation="landscape" horizontalDpi="600"/>
  <headerFooter>
    <oddHeader>&amp;L内部资料，禁止外传</oddHeader>
  </headerFooter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W64"/>
  <sheetViews>
    <sheetView showZeros="0" workbookViewId="0">
      <pane xSplit="1" topLeftCell="B1" activePane="topRight" state="frozen"/>
      <selection/>
      <selection pane="topRight" activeCell="A1" sqref="A1"/>
    </sheetView>
  </sheetViews>
  <sheetFormatPr defaultColWidth="8.725" defaultRowHeight="13.5"/>
  <cols>
    <col min="1" max="1" width="13.75" style="39" customWidth="1"/>
    <col min="2" max="23" width="8.5" style="39" customWidth="1"/>
    <col min="24" max="16384" width="8.725" style="39"/>
  </cols>
  <sheetData>
    <row r="1" s="39" customFormat="1" ht="18.75" spans="1:1">
      <c r="A1" s="42" t="str">
        <f>设置!B22&amp;(IF(YEAR(设置!D23)&lt;2021/1/1,"0000",YEAR(设置!D23)))&amp;设置!C28&amp;设置!A24</f>
        <v>***市县2025年创业担保贷款财政贴息统计表</v>
      </c>
    </row>
    <row r="2" s="40" customFormat="1" ht="14.25" spans="2:23">
      <c r="B2" s="43"/>
      <c r="C2" s="43"/>
      <c r="D2" s="43"/>
      <c r="E2" s="44"/>
      <c r="F2" s="44"/>
      <c r="G2" s="45"/>
      <c r="H2" s="44"/>
      <c r="I2" s="44"/>
      <c r="J2" s="45"/>
      <c r="K2" s="44"/>
      <c r="L2" s="44"/>
      <c r="M2" s="45"/>
      <c r="N2" s="43"/>
      <c r="O2" s="43"/>
      <c r="P2" s="69" t="s">
        <v>228</v>
      </c>
      <c r="Q2" s="43"/>
      <c r="R2" s="43"/>
      <c r="S2" s="43"/>
      <c r="T2" s="44"/>
      <c r="U2" s="44"/>
      <c r="V2" s="45"/>
      <c r="W2" s="44"/>
    </row>
    <row r="3" s="41" customFormat="1" ht="12" spans="1:16">
      <c r="A3" s="46" t="s">
        <v>229</v>
      </c>
      <c r="B3" s="47" t="s">
        <v>230</v>
      </c>
      <c r="C3" s="47"/>
      <c r="D3" s="47"/>
      <c r="E3" s="48" t="s">
        <v>231</v>
      </c>
      <c r="F3" s="48"/>
      <c r="G3" s="48"/>
      <c r="H3" s="48"/>
      <c r="I3" s="48"/>
      <c r="J3" s="48"/>
      <c r="K3" s="48"/>
      <c r="L3" s="48"/>
      <c r="M3" s="48"/>
      <c r="N3" s="47" t="s">
        <v>232</v>
      </c>
      <c r="O3" s="47"/>
      <c r="P3" s="47"/>
    </row>
    <row r="4" s="41" customFormat="1" ht="12" spans="1:16">
      <c r="A4" s="49"/>
      <c r="B4" s="50" t="s">
        <v>204</v>
      </c>
      <c r="C4" s="50" t="s">
        <v>111</v>
      </c>
      <c r="D4" s="50" t="s">
        <v>233</v>
      </c>
      <c r="E4" s="51" t="s">
        <v>204</v>
      </c>
      <c r="F4" s="51"/>
      <c r="G4" s="51"/>
      <c r="H4" s="51" t="s">
        <v>111</v>
      </c>
      <c r="I4" s="51"/>
      <c r="J4" s="51"/>
      <c r="K4" s="51" t="s">
        <v>233</v>
      </c>
      <c r="L4" s="51"/>
      <c r="M4" s="51"/>
      <c r="N4" s="51" t="s">
        <v>204</v>
      </c>
      <c r="O4" s="51" t="s">
        <v>111</v>
      </c>
      <c r="P4" s="51" t="s">
        <v>233</v>
      </c>
    </row>
    <row r="5" s="41" customFormat="1" ht="26" customHeight="1" spans="1:16">
      <c r="A5" s="49"/>
      <c r="B5" s="50"/>
      <c r="C5" s="50"/>
      <c r="D5" s="50"/>
      <c r="E5" s="52" t="s">
        <v>204</v>
      </c>
      <c r="F5" s="52" t="s">
        <v>234</v>
      </c>
      <c r="G5" s="52" t="s">
        <v>235</v>
      </c>
      <c r="H5" s="52" t="s">
        <v>204</v>
      </c>
      <c r="I5" s="52" t="s">
        <v>234</v>
      </c>
      <c r="J5" s="52" t="s">
        <v>235</v>
      </c>
      <c r="K5" s="52" t="s">
        <v>204</v>
      </c>
      <c r="L5" s="52" t="s">
        <v>234</v>
      </c>
      <c r="M5" s="52" t="s">
        <v>235</v>
      </c>
      <c r="N5" s="52" t="s">
        <v>204</v>
      </c>
      <c r="O5" s="52" t="s">
        <v>234</v>
      </c>
      <c r="P5" s="52" t="s">
        <v>234</v>
      </c>
    </row>
    <row r="6" ht="26" customHeight="1" spans="1:16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ht="14.25" spans="1:16">
      <c r="A7" s="55" t="str">
        <f>设置!$B$22</f>
        <v>***市县</v>
      </c>
      <c r="B7" s="56">
        <f t="shared" ref="B7:B9" si="0">SUM(C7:D7)</f>
        <v>0</v>
      </c>
      <c r="C7" s="56">
        <f>SUMPRODUCT((个贷明细!P8:P666666&gt;=设置!E23)*(个贷明细!P8:P666666&lt;=设置!J24)*(个贷明细!AA8:AA666666&gt;0)*(1))</f>
        <v>0</v>
      </c>
      <c r="D7" s="56">
        <f>SUMPRODUCT((企贷明细!P8:P666666&gt;=设置!E23)*(企贷明细!P8:P666666&lt;=设置!J24)*(企贷明细!AA8:AA666666&gt;0)*(1))</f>
        <v>0</v>
      </c>
      <c r="E7" s="56">
        <f t="shared" ref="E7:E9" si="1">SUM(F7:G7)</f>
        <v>0</v>
      </c>
      <c r="F7" s="56">
        <f t="shared" ref="F7:F9" si="2">SUM(I7,L7)</f>
        <v>0</v>
      </c>
      <c r="G7" s="56">
        <f t="shared" ref="G7:G9" si="3">SUM(J7,M7)</f>
        <v>0</v>
      </c>
      <c r="H7" s="56">
        <f t="shared" ref="H7:H9" si="4">SUM(I7:J7)</f>
        <v>0</v>
      </c>
      <c r="I7" s="56">
        <f>SUMPRODUCT((个贷明细!P8:P666666&gt;=设置!E23)*(个贷明细!P8:P666666&lt;=设置!J24)*(个贷明细!AA8:AA666666))</f>
        <v>0</v>
      </c>
      <c r="J7" s="56">
        <f>SUMPRODUCT((个贷明细!P8:P666666&gt;=设置!E23)*(个贷明细!P8:P666666&lt;=设置!J24)*(个贷明细!AB8:AB666666))</f>
        <v>0</v>
      </c>
      <c r="K7" s="56">
        <f t="shared" ref="K7:K9" si="5">SUM(L7:M7)</f>
        <v>0</v>
      </c>
      <c r="L7" s="56">
        <f>SUMPRODUCT((企贷明细!P8:P666666&gt;=设置!E23)*(企贷明细!P8:P666666&lt;=设置!J24)*(企贷明细!AA8:AA666666))</f>
        <v>0</v>
      </c>
      <c r="M7" s="56">
        <f>SUMPRODUCT((企贷明细!P8:P666666&gt;=设置!E23)*(企贷明细!P8:P666666&lt;=设置!J24)*(企贷明细!AB8:AB666666))</f>
        <v>0</v>
      </c>
      <c r="N7" s="56">
        <f t="shared" ref="N7:N9" si="6">SUM(O7:P7)</f>
        <v>0</v>
      </c>
      <c r="O7" s="56">
        <f>SUMPRODUCT((个贷明细!N8:N666666&lt;&gt;0)*(个贷明细!P8:P666666&gt;=设置!E23)*(个贷明细!P8:P666666&lt;=设置!J24)*(个贷明细!I8:I666666="个人")*(1))+SUMPRODUCT((个贷明细!N8:N666666&lt;&gt;0)*(个贷明细!P8:P666666&gt;=设置!E23)*(个贷明细!P8:P666666&lt;=设置!J24)*(个贷明细!I8:I666666="合伙")*(个贷明细!J8:J666666))</f>
        <v>0</v>
      </c>
      <c r="P7" s="56">
        <f>SUMPRODUCT((企贷明细!N8:N666666&lt;&gt;0)*(企贷明细!P8:P666666&gt;=设置!E23)*(企贷明细!P8:P666666&lt;=设置!J24)*(企贷明细!J8:J666666))</f>
        <v>0</v>
      </c>
    </row>
    <row r="8" ht="14.25" spans="1:16">
      <c r="A8" s="57" t="s">
        <v>236</v>
      </c>
      <c r="B8" s="56">
        <f t="shared" si="0"/>
        <v>0</v>
      </c>
      <c r="C8" s="56">
        <f>SUMPRODUCT((个贷明细!P8:P666666&gt;=设置!J23)*(个贷明细!P8:P666666&gt;=设置!E23)*(个贷明细!P8:P666666&lt;=设置!J24)*(个贷明细!AA8:AA666666&gt;0)*(1))</f>
        <v>0</v>
      </c>
      <c r="D8" s="56">
        <f>SUMPRODUCT((企贷明细!P8:P666666&gt;=设置!J23)*(企贷明细!P8:P666666&gt;=设置!E23)*(企贷明细!P8:P666666&lt;=设置!J24)*(企贷明细!AA8:AA666666&gt;0)*(1))</f>
        <v>0</v>
      </c>
      <c r="E8" s="56">
        <f t="shared" si="1"/>
        <v>0</v>
      </c>
      <c r="F8" s="56">
        <f t="shared" si="2"/>
        <v>0</v>
      </c>
      <c r="G8" s="56">
        <f t="shared" si="3"/>
        <v>0</v>
      </c>
      <c r="H8" s="56">
        <f t="shared" si="4"/>
        <v>0</v>
      </c>
      <c r="I8" s="56">
        <f>SUMPRODUCT((个贷明细!P8:P666666&gt;=设置!J23)*(个贷明细!P8:P666666&gt;=设置!E23)*(个贷明细!P8:P666666&lt;=设置!J24)*(个贷明细!AA8:AA666666))</f>
        <v>0</v>
      </c>
      <c r="J8" s="56">
        <f>SUMPRODUCT((个贷明细!P8:P666666&gt;=设置!J23)*(个贷明细!P8:P666666&gt;=设置!E23)*(个贷明细!P8:P666666&lt;=设置!J24)*(个贷明细!AB8:AB666666))</f>
        <v>0</v>
      </c>
      <c r="K8" s="56">
        <f t="shared" si="5"/>
        <v>0</v>
      </c>
      <c r="L8" s="56">
        <f>SUMPRODUCT((企贷明细!P8:P666666&gt;=设置!J23)*(企贷明细!P8:P666666&gt;=设置!E23)*(企贷明细!P8:P666666&lt;=设置!J24)*(企贷明细!AA8:AA666666))</f>
        <v>0</v>
      </c>
      <c r="M8" s="56">
        <f>SUMPRODUCT((企贷明细!P8:P666666&gt;=设置!J23)*(企贷明细!P8:P666666&gt;=设置!E23)*(企贷明细!P8:P666666&lt;=设置!J24)*(企贷明细!AB8:AB666666))</f>
        <v>0</v>
      </c>
      <c r="N8" s="56">
        <f t="shared" si="6"/>
        <v>0</v>
      </c>
      <c r="O8" s="56">
        <f>SUMPRODUCT((个贷明细!N8:N666666&lt;&gt;0)*(个贷明细!P8:P666666&gt;=设置!J23)*(个贷明细!P8:P666666&gt;=设置!E23)*(个贷明细!P8:P666666&lt;=设置!J24)*(个贷明细!I8:I666666="个人")*(1))+SUMPRODUCT((个贷明细!N8:N666666&lt;&gt;0)*(个贷明细!P8:P666666&gt;=设置!J23)*(个贷明细!P8:P666666&gt;=设置!E23)*(个贷明细!P8:P666666&lt;=设置!J24)*(个贷明细!I8:I666666="合伙")*(个贷明细!J8:J666666))</f>
        <v>0</v>
      </c>
      <c r="P8" s="56">
        <f>SUMPRODUCT((企贷明细!N8:N666666&lt;&gt;0)*(企贷明细!P8:P666666&gt;=设置!J23)*(企贷明细!P8:P666666&gt;=设置!E23)*(企贷明细!P8:P666666&lt;=设置!J24)*(企贷明细!J8:J666666))</f>
        <v>0</v>
      </c>
    </row>
    <row r="9" ht="14.25" spans="1:16">
      <c r="A9" s="57" t="s">
        <v>237</v>
      </c>
      <c r="B9" s="56">
        <f t="shared" si="0"/>
        <v>0</v>
      </c>
      <c r="C9" s="56">
        <f>SUMPRODUCT((个贷明细!P8:P666666&lt;设置!J23)*(个贷明细!P8:P666666&gt;=设置!E23)*(个贷明细!P8:P666666&lt;=设置!J24)*(个贷明细!AA8:AA666666&gt;0)*(1))</f>
        <v>0</v>
      </c>
      <c r="D9" s="56">
        <f>SUMPRODUCT((企贷明细!P8:P666666&lt;设置!J23)*(企贷明细!P8:P666666&gt;=设置!E23)*(企贷明细!P8:P666666&lt;=设置!J24)*(企贷明细!AA8:AA666666&gt;0)*(1))</f>
        <v>0</v>
      </c>
      <c r="E9" s="56">
        <f t="shared" si="1"/>
        <v>0</v>
      </c>
      <c r="F9" s="56">
        <f t="shared" si="2"/>
        <v>0</v>
      </c>
      <c r="G9" s="56">
        <f t="shared" si="3"/>
        <v>0</v>
      </c>
      <c r="H9" s="56">
        <f t="shared" si="4"/>
        <v>0</v>
      </c>
      <c r="I9" s="56">
        <f>SUMPRODUCT((个贷明细!P8:P666666&lt;设置!J23)*(个贷明细!P8:P666666&gt;=设置!E23)*(个贷明细!P8:P666666&lt;=设置!J24)*(个贷明细!AA8:AA666666))</f>
        <v>0</v>
      </c>
      <c r="J9" s="56">
        <f>SUMPRODUCT((个贷明细!P8:P666666&lt;设置!J23)*(个贷明细!P8:P666666&gt;=设置!E23)*(个贷明细!P8:P666666&lt;=设置!J24)*(个贷明细!AB8:AB666666))</f>
        <v>0</v>
      </c>
      <c r="K9" s="56">
        <f t="shared" si="5"/>
        <v>0</v>
      </c>
      <c r="L9" s="56">
        <f>SUMPRODUCT((企贷明细!P8:P666666&lt;设置!J23)*(企贷明细!P8:P666666&gt;=设置!E23)*(企贷明细!P8:P666666&lt;=设置!J24)*(企贷明细!AA8:AA666666))</f>
        <v>0</v>
      </c>
      <c r="M9" s="56">
        <f>SUMPRODUCT((企贷明细!P8:P666666&lt;设置!J23)*(企贷明细!P8:P666666&gt;=设置!E23)*(企贷明细!P8:P666666&lt;=设置!J24)*(企贷明细!AB8:AB666666))</f>
        <v>0</v>
      </c>
      <c r="N9" s="56">
        <f t="shared" si="6"/>
        <v>0</v>
      </c>
      <c r="O9" s="56">
        <f>SUMPRODUCT((个贷明细!N8:N666666&lt;&gt;0)*(个贷明细!P8:P666666&lt;设置!J23)*(个贷明细!P8:P666666&gt;=设置!E23)*(个贷明细!P8:P666666&lt;=设置!J24)*(个贷明细!I8:I666666="个人")*(1))+SUMPRODUCT((个贷明细!N8:N666666&lt;&gt;0)*(个贷明细!P8:P666666&lt;设置!J23)*(个贷明细!P8:P666666&gt;=设置!E23)*(个贷明细!P8:P666666&lt;=设置!J24)*(个贷明细!I8:I666666="合伙")*(个贷明细!J8:J666666))</f>
        <v>0</v>
      </c>
      <c r="P9" s="56">
        <f>SUMPRODUCT((企贷明细!N8:N666666&lt;&gt;0)*(企贷明细!P8:P666666&lt;设置!J23)*(企贷明细!P8:P666666&gt;=设置!E23)*(企贷明细!P8:P666666&lt;=设置!J24)*(企贷明细!J8:J666666))</f>
        <v>0</v>
      </c>
    </row>
    <row r="11" spans="1:13">
      <c r="A11" s="46" t="s">
        <v>229</v>
      </c>
      <c r="B11" s="47" t="s">
        <v>277</v>
      </c>
      <c r="C11" s="47"/>
      <c r="D11" s="47"/>
      <c r="E11" s="48" t="s">
        <v>278</v>
      </c>
      <c r="F11" s="48"/>
      <c r="G11" s="48"/>
      <c r="H11" s="48"/>
      <c r="I11" s="48"/>
      <c r="J11" s="48"/>
      <c r="K11" s="48"/>
      <c r="L11" s="48"/>
      <c r="M11" s="48"/>
    </row>
    <row r="12" spans="1:13">
      <c r="A12" s="49"/>
      <c r="B12" s="52" t="s">
        <v>204</v>
      </c>
      <c r="C12" s="52" t="s">
        <v>111</v>
      </c>
      <c r="D12" s="52" t="s">
        <v>233</v>
      </c>
      <c r="E12" s="51" t="s">
        <v>204</v>
      </c>
      <c r="F12" s="51"/>
      <c r="G12" s="51"/>
      <c r="H12" s="51" t="s">
        <v>111</v>
      </c>
      <c r="I12" s="51"/>
      <c r="J12" s="51"/>
      <c r="K12" s="51" t="s">
        <v>233</v>
      </c>
      <c r="L12" s="51"/>
      <c r="M12" s="51"/>
    </row>
    <row r="13" spans="1:13">
      <c r="A13" s="49"/>
      <c r="B13" s="50"/>
      <c r="C13" s="50"/>
      <c r="D13" s="50"/>
      <c r="E13" s="58" t="s">
        <v>204</v>
      </c>
      <c r="F13" s="58" t="s">
        <v>234</v>
      </c>
      <c r="G13" s="58" t="s">
        <v>235</v>
      </c>
      <c r="H13" s="58" t="s">
        <v>204</v>
      </c>
      <c r="I13" s="58" t="s">
        <v>234</v>
      </c>
      <c r="J13" s="58" t="s">
        <v>235</v>
      </c>
      <c r="K13" s="58" t="s">
        <v>204</v>
      </c>
      <c r="L13" s="58" t="s">
        <v>234</v>
      </c>
      <c r="M13" s="58" t="s">
        <v>235</v>
      </c>
    </row>
    <row r="14" ht="37" customHeight="1" spans="1:13">
      <c r="A14" s="53"/>
      <c r="B14" s="54"/>
      <c r="C14" s="54"/>
      <c r="D14" s="54"/>
      <c r="E14" s="59"/>
      <c r="F14" s="59"/>
      <c r="G14" s="59"/>
      <c r="H14" s="59"/>
      <c r="I14" s="59"/>
      <c r="J14" s="59"/>
      <c r="K14" s="59"/>
      <c r="L14" s="59"/>
      <c r="M14" s="59"/>
    </row>
    <row r="15" ht="14.25" spans="1:13">
      <c r="A15" s="55" t="str">
        <f>设置!$B$22</f>
        <v>***市县</v>
      </c>
      <c r="B15" s="56">
        <f t="shared" ref="B15:B17" si="7">SUM(C15:D15)</f>
        <v>0</v>
      </c>
      <c r="C15" s="56">
        <f>SUMPRODUCT((个贷明细!N8:N666666&lt;&gt;0)*(个贷明细!P8:P666666&lt;(设置!J24+1))*(个贷明细!R8:R666666&gt;设置!J24)*(个贷明细!T8:T666666=0)*(1))+SUMPRODUCT((个贷明细!N8:N666666&lt;&gt;0)*(个贷明细!P8:P666666&lt;(设置!J24+1))*(个贷明细!R8:R666666&gt;设置!J24)*(个贷明细!T8:T666666&gt;设置!J24)*(1))</f>
        <v>0</v>
      </c>
      <c r="D15" s="56">
        <f>SUMPRODUCT((企贷明细!N8:N666666&lt;&gt;0)*(企贷明细!P8:P666666&lt;(设置!J24+1))*(企贷明细!R8:R666666&gt;设置!J24)*(企贷明细!T8:T666666=0)*(1))+SUMPRODUCT((企贷明细!N8:N666666&lt;&gt;0)*(企贷明细!P8:P666666&lt;(设置!J24+1))*(企贷明细!R8:R666666&gt;设置!J24)*(企贷明细!T8:T666666&gt;设置!J24)*(1))</f>
        <v>0</v>
      </c>
      <c r="E15" s="56">
        <f t="shared" ref="E15:E17" si="8">SUM(F15:G15)</f>
        <v>0</v>
      </c>
      <c r="F15" s="56">
        <f t="shared" ref="F15:F17" si="9">SUM(I15,L15)</f>
        <v>0</v>
      </c>
      <c r="G15" s="56">
        <f t="shared" ref="G15:G17" si="10">SUM(J15,M15)</f>
        <v>0</v>
      </c>
      <c r="H15" s="56">
        <f t="shared" ref="H15:H17" si="11">SUM(I15:J15)</f>
        <v>0</v>
      </c>
      <c r="I15" s="56">
        <f>SUMPRODUCT((个贷明细!P8:P666666&lt;(设置!J24+1))*(个贷明细!R8:R666666&gt;设置!J24)*(个贷明细!T8:T666666=0)*(个贷明细!AA8:AA666666))+SUMPRODUCT((个贷明细!P8:P666666&lt;(设置!J24+1))*(个贷明细!R8:R666666&gt;设置!J24)*(个贷明细!T8:T666666&gt;设置!J24)*(个贷明细!AA8:AA666666))</f>
        <v>0</v>
      </c>
      <c r="J15" s="56">
        <f>SUMPRODUCT((个贷明细!P8:P666666&lt;(设置!J24+1))*(个贷明细!R8:R666666&gt;设置!J24)*(个贷明细!T8:T666666=0)*(个贷明细!AB8:AB666666))+SUMPRODUCT((个贷明细!P8:P666666&lt;(设置!J24+1))*(个贷明细!R8:R666666&gt;设置!J24)*(个贷明细!T8:T666666&gt;设置!J24)*(个贷明细!AB8:AB666666))</f>
        <v>0</v>
      </c>
      <c r="K15" s="56">
        <f t="shared" ref="K15:K17" si="12">SUM(L15:M15)</f>
        <v>0</v>
      </c>
      <c r="L15" s="56">
        <f>SUMPRODUCT((企贷明细!P8:P666666&lt;(设置!J24+1))*(企贷明细!R8:R666666&gt;设置!J24)*(企贷明细!T8:T666666=0)*(企贷明细!AA8:AA666666))+SUMPRODUCT((企贷明细!P8:P666666&lt;(设置!J24+1))*(企贷明细!R8:R666666&gt;设置!J24)*(企贷明细!T8:T666666&gt;设置!J24)*(企贷明细!AA8:AA666666))</f>
        <v>0</v>
      </c>
      <c r="M15" s="56">
        <f>SUMPRODUCT((企贷明细!P8:P666666&lt;(设置!J24+1))*(企贷明细!R8:R666666&gt;设置!J24)*(企贷明细!T8:T666666=0)*(企贷明细!AB8:AB666666))+SUMPRODUCT((企贷明细!P8:P666666&lt;(设置!J24+1))*(企贷明细!R8:R666666&gt;设置!J24)*(企贷明细!T8:T666666&gt;设置!J24)*(企贷明细!AB8:AB666666))</f>
        <v>0</v>
      </c>
    </row>
    <row r="16" ht="14.25" spans="1:13">
      <c r="A16" s="57" t="s">
        <v>236</v>
      </c>
      <c r="B16" s="56">
        <f t="shared" si="7"/>
        <v>0</v>
      </c>
      <c r="C16" s="56">
        <f>SUMPRODUCT((个贷明细!N8:N666666&lt;&gt;0)*(个贷明细!P8:P666666&gt;=设置!J23)*(个贷明细!P8:P666666&lt;(设置!J24+1))*(个贷明细!R8:R666666&gt;设置!J24)*(个贷明细!T8:T666666=0)*(1))+SUMPRODUCT((个贷明细!N8:N666666&lt;&gt;0)*(个贷明细!P8:P666666&gt;=设置!J23)*(个贷明细!P8:P666666&lt;(设置!J24+1))*(个贷明细!R8:R666666&gt;设置!J24)*(个贷明细!T8:T666666&gt;设置!J24)*(1))</f>
        <v>0</v>
      </c>
      <c r="D16" s="56">
        <f>SUMPRODUCT((企贷明细!N8:N666666&lt;&gt;0)*(企贷明细!P8:P666666&gt;=设置!J23)*(企贷明细!P8:P666666&lt;(设置!J24+1))*(企贷明细!R8:R666666&gt;设置!J24)*(企贷明细!T8:T666666=0)*(1))+SUMPRODUCT((企贷明细!N8:N666666&lt;&gt;0)*(企贷明细!P8:P666666&gt;=设置!J23)*(企贷明细!P8:P666666&lt;(设置!J24+1))*(企贷明细!R8:R666666&gt;设置!J24)*(企贷明细!T8:T666666&gt;设置!J24)*(1))</f>
        <v>0</v>
      </c>
      <c r="E16" s="56">
        <f t="shared" si="8"/>
        <v>0</v>
      </c>
      <c r="F16" s="56">
        <f t="shared" si="9"/>
        <v>0</v>
      </c>
      <c r="G16" s="56">
        <f t="shared" si="10"/>
        <v>0</v>
      </c>
      <c r="H16" s="56">
        <f t="shared" si="11"/>
        <v>0</v>
      </c>
      <c r="I16" s="56">
        <f>SUMPRODUCT((个贷明细!P8:P666666&gt;=设置!J23)*(个贷明细!P8:P666666&lt;(设置!J24+1))*(个贷明细!R8:R666666&gt;设置!J24)*(个贷明细!T8:T666666=0)*(个贷明细!AA8:AA666666))+SUMPRODUCT((个贷明细!P8:P666666&gt;=设置!J23)*(个贷明细!P8:P666666&lt;(设置!J24+1))*(个贷明细!R8:R666666&gt;设置!J24)*(个贷明细!T8:T666666&gt;设置!J24)*(个贷明细!AA8:AA666666))</f>
        <v>0</v>
      </c>
      <c r="J16" s="56">
        <f>SUMPRODUCT((个贷明细!P8:P666666&gt;=设置!J23)*(个贷明细!P8:P666666&lt;(设置!J24+1))*(个贷明细!R8:R666666&gt;设置!J24)*(个贷明细!T8:T666666=0)*(个贷明细!AB8:AB666666))+SUMPRODUCT((个贷明细!P8:P666666&gt;=设置!J23)*(个贷明细!P8:P666666&lt;(设置!J24+1))*(个贷明细!R8:R666666&gt;设置!J24)*(个贷明细!T8:T666666&gt;设置!J24)*(个贷明细!AB8:AB666666))</f>
        <v>0</v>
      </c>
      <c r="K16" s="56">
        <f t="shared" si="12"/>
        <v>0</v>
      </c>
      <c r="L16" s="56">
        <f>SUMPRODUCT((企贷明细!P8:P666666&gt;=设置!J23)*(企贷明细!P8:P666666&lt;(设置!J24+1))*(企贷明细!R8:R666666&gt;设置!J24)*(企贷明细!T8:T666666=0)*(企贷明细!AA8:AA666666))+SUMPRODUCT((企贷明细!P8:P666666&gt;=设置!J23)*(企贷明细!P8:P666666&lt;(设置!J24+1))*(企贷明细!R8:R666666&gt;设置!J24)*(企贷明细!T8:T666666&gt;设置!J24)*(企贷明细!AA8:AA666666))</f>
        <v>0</v>
      </c>
      <c r="M16" s="56">
        <f>SUMPRODUCT((企贷明细!P8:P666666&gt;=设置!J23)*(企贷明细!P8:P666666&lt;(设置!J24+1))*(企贷明细!R8:R666666&gt;设置!J24)*(企贷明细!T8:T666666=0)*(企贷明细!AB8:AB666666))+SUMPRODUCT((企贷明细!P8:P666666&gt;=设置!J23)*(企贷明细!P8:P666666&lt;(设置!J24+1))*(企贷明细!R8:R666666&gt;设置!J24)*(企贷明细!T8:T666666&gt;设置!J24)*(企贷明细!AB8:AB666666))</f>
        <v>0</v>
      </c>
    </row>
    <row r="17" ht="14.25" spans="1:13">
      <c r="A17" s="57" t="s">
        <v>237</v>
      </c>
      <c r="B17" s="56">
        <f t="shared" si="7"/>
        <v>0</v>
      </c>
      <c r="C17" s="56">
        <f>SUMPRODUCT((个贷明细!N8:N666666&lt;&gt;0)*(个贷明细!P8:P666666&lt;设置!J23)*(个贷明细!P8:P666666&lt;(设置!J24+1))*(个贷明细!R8:R666666&gt;设置!J24)*(个贷明细!T8:T666666=0)*(1))+SUMPRODUCT((个贷明细!N8:N666666&lt;&gt;0)*(个贷明细!P8:P666666&lt;设置!J23)*(个贷明细!P8:P666666&lt;(设置!J24+1))*(个贷明细!R8:R666666&gt;设置!J24)*(个贷明细!T8:T666666&gt;设置!J24)*(1))</f>
        <v>0</v>
      </c>
      <c r="D17" s="56">
        <f>SUMPRODUCT((企贷明细!N8:N666666&lt;&gt;0)*(企贷明细!P8:P666666&lt;设置!J23)*(企贷明细!P8:P666666&lt;(设置!J24+1))*(企贷明细!R8:R666666&gt;设置!J24)*(企贷明细!T8:T666666=0)*(1))+SUMPRODUCT((企贷明细!N8:N666666&lt;&gt;0)*(企贷明细!P8:P666666&lt;设置!J23)*(企贷明细!P8:P666666&lt;(设置!J24+1))*(企贷明细!R8:R666666&gt;设置!J24)*(企贷明细!T8:T666666&gt;设置!J24)*(1))</f>
        <v>0</v>
      </c>
      <c r="E17" s="56">
        <f t="shared" si="8"/>
        <v>0</v>
      </c>
      <c r="F17" s="56">
        <f t="shared" si="9"/>
        <v>0</v>
      </c>
      <c r="G17" s="56">
        <f t="shared" si="10"/>
        <v>0</v>
      </c>
      <c r="H17" s="56">
        <f t="shared" si="11"/>
        <v>0</v>
      </c>
      <c r="I17" s="56">
        <f>SUMPRODUCT((个贷明细!P8:P666666&lt;设置!J23)*(个贷明细!P8:P666666&lt;(设置!J24+1))*(个贷明细!R8:R666666&gt;设置!J24)*(个贷明细!T8:T666666=0)*(个贷明细!AA8:AA666666))+SUMPRODUCT((个贷明细!P8:P666666&lt;设置!J23)*(个贷明细!P8:P666666&lt;(设置!J24+1))*(个贷明细!R8:R666666&gt;设置!J24)*(个贷明细!T8:T666666&gt;设置!J24)*(个贷明细!AA8:AA666666))</f>
        <v>0</v>
      </c>
      <c r="J17" s="56">
        <f>SUMPRODUCT((个贷明细!P8:P666666&lt;设置!J23)*(个贷明细!P8:P666666&lt;(设置!J24+1))*(个贷明细!R8:R666666&gt;设置!J24)*(个贷明细!T8:T666666=0)*(个贷明细!AB8:AB666666))+SUMPRODUCT((个贷明细!P8:P666666&lt;设置!J23)*(个贷明细!P8:P666666&lt;(设置!J24+1))*(个贷明细!R8:R666666&gt;设置!J24)*(个贷明细!T8:T666666&gt;设置!J24)*(个贷明细!AB8:AB666666))</f>
        <v>0</v>
      </c>
      <c r="K17" s="56">
        <f t="shared" si="12"/>
        <v>0</v>
      </c>
      <c r="L17" s="56">
        <f>SUMPRODUCT((企贷明细!P8:P666666&lt;设置!J23)*(企贷明细!P8:P666666&lt;(设置!J24+1))*(企贷明细!R8:R666666&gt;设置!J24)*(企贷明细!T8:T666666=0)*(企贷明细!AA8:AA666666))+SUMPRODUCT((企贷明细!P8:P666666&lt;设置!J23)*(企贷明细!P8:P666666&lt;(设置!J24+1))*(企贷明细!R8:R666666&gt;设置!J24)*(企贷明细!T8:T666666&gt;设置!J24)*(企贷明细!AA8:AA666666))</f>
        <v>0</v>
      </c>
      <c r="M17" s="56">
        <f>SUMPRODUCT((企贷明细!P8:P666666&lt;设置!J23)*(企贷明细!P8:P666666&lt;(设置!J24+1))*(企贷明细!R8:R666666&gt;设置!J24)*(企贷明细!T8:T666666=0)*(企贷明细!AB8:AB666666))+SUMPRODUCT((企贷明细!P8:P666666&lt;设置!J23)*(企贷明细!P8:P666666&lt;(设置!J24+1))*(企贷明细!R8:R666666&gt;设置!J24)*(企贷明细!T8:T666666&gt;设置!J24)*(企贷明细!AB8:AB666666))</f>
        <v>0</v>
      </c>
    </row>
    <row r="19" spans="1:23">
      <c r="A19" s="46" t="s">
        <v>229</v>
      </c>
      <c r="B19" s="48" t="s">
        <v>240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49"/>
      <c r="B20" s="60" t="s">
        <v>204</v>
      </c>
      <c r="C20" s="61"/>
      <c r="D20" s="61"/>
      <c r="E20" s="61"/>
      <c r="F20" s="61"/>
      <c r="G20" s="61"/>
      <c r="H20" s="61"/>
      <c r="I20" s="70"/>
      <c r="J20" s="60" t="s">
        <v>111</v>
      </c>
      <c r="K20" s="61"/>
      <c r="L20" s="61"/>
      <c r="M20" s="61"/>
      <c r="N20" s="61"/>
      <c r="O20" s="70"/>
      <c r="P20" s="60" t="s">
        <v>233</v>
      </c>
      <c r="Q20" s="61"/>
      <c r="R20" s="61"/>
      <c r="S20" s="61"/>
      <c r="T20" s="61"/>
      <c r="U20" s="61"/>
      <c r="V20" s="61"/>
      <c r="W20" s="70"/>
    </row>
    <row r="21" spans="1:23">
      <c r="A21" s="49"/>
      <c r="B21" s="62" t="s">
        <v>204</v>
      </c>
      <c r="C21" s="62" t="s">
        <v>241</v>
      </c>
      <c r="D21" s="62"/>
      <c r="E21" s="62"/>
      <c r="F21" s="62"/>
      <c r="G21" s="62" t="s">
        <v>242</v>
      </c>
      <c r="H21" s="62"/>
      <c r="I21" s="62"/>
      <c r="J21" s="62" t="s">
        <v>204</v>
      </c>
      <c r="K21" s="62" t="s">
        <v>241</v>
      </c>
      <c r="L21" s="62"/>
      <c r="M21" s="62"/>
      <c r="N21" s="62"/>
      <c r="O21" s="62" t="s">
        <v>242</v>
      </c>
      <c r="P21" s="62" t="s">
        <v>204</v>
      </c>
      <c r="Q21" s="62" t="s">
        <v>241</v>
      </c>
      <c r="R21" s="62"/>
      <c r="S21" s="62"/>
      <c r="T21" s="62"/>
      <c r="U21" s="62" t="s">
        <v>242</v>
      </c>
      <c r="V21" s="62"/>
      <c r="W21" s="62"/>
    </row>
    <row r="22" ht="27" customHeight="1" spans="1:23">
      <c r="A22" s="53"/>
      <c r="B22" s="62"/>
      <c r="C22" s="62" t="s">
        <v>204</v>
      </c>
      <c r="D22" s="63" t="s">
        <v>205</v>
      </c>
      <c r="E22" s="62" t="s">
        <v>206</v>
      </c>
      <c r="F22" s="62" t="s">
        <v>207</v>
      </c>
      <c r="G22" s="62" t="s">
        <v>204</v>
      </c>
      <c r="H22" s="62" t="s">
        <v>206</v>
      </c>
      <c r="I22" s="62" t="s">
        <v>207</v>
      </c>
      <c r="J22" s="62"/>
      <c r="K22" s="62" t="s">
        <v>204</v>
      </c>
      <c r="L22" s="63" t="s">
        <v>205</v>
      </c>
      <c r="M22" s="62" t="s">
        <v>206</v>
      </c>
      <c r="N22" s="62" t="s">
        <v>207</v>
      </c>
      <c r="O22" s="62"/>
      <c r="P22" s="62"/>
      <c r="Q22" s="62" t="s">
        <v>204</v>
      </c>
      <c r="R22" s="63" t="s">
        <v>205</v>
      </c>
      <c r="S22" s="62" t="s">
        <v>206</v>
      </c>
      <c r="T22" s="62" t="s">
        <v>207</v>
      </c>
      <c r="U22" s="62" t="s">
        <v>204</v>
      </c>
      <c r="V22" s="62" t="s">
        <v>206</v>
      </c>
      <c r="W22" s="62" t="s">
        <v>207</v>
      </c>
    </row>
    <row r="23" ht="14.25" spans="1:23">
      <c r="A23" s="55" t="str">
        <f>设置!$B$22</f>
        <v>***市县</v>
      </c>
      <c r="B23" s="56">
        <f t="shared" ref="B23:B25" si="13">SUM(C23,G23)</f>
        <v>0</v>
      </c>
      <c r="C23" s="56">
        <f t="shared" ref="C23:C25" si="14">SUM(D23:F23)</f>
        <v>0</v>
      </c>
      <c r="D23" s="56">
        <f t="shared" ref="D23:F23" si="15">SUM(L23,R23)</f>
        <v>0</v>
      </c>
      <c r="E23" s="56">
        <f t="shared" si="15"/>
        <v>0</v>
      </c>
      <c r="F23" s="56">
        <f t="shared" si="15"/>
        <v>0</v>
      </c>
      <c r="G23" s="56">
        <f t="shared" ref="G23:G25" si="16">SUM(H23:I23)</f>
        <v>0</v>
      </c>
      <c r="H23" s="56">
        <f t="shared" ref="H23:H25" si="17">SUM(V23)</f>
        <v>0</v>
      </c>
      <c r="I23" s="56">
        <f t="shared" ref="I23:I25" si="18">SUM(O23,W23)</f>
        <v>0</v>
      </c>
      <c r="J23" s="56">
        <f t="shared" ref="J23:J25" si="19">SUM(K23,O23)</f>
        <v>0</v>
      </c>
      <c r="K23" s="56">
        <f t="shared" ref="K23:K25" si="20">SUM(L23:N23)</f>
        <v>0</v>
      </c>
      <c r="L23" s="56">
        <f>个贷明细!BC7+'3季统计'!L23</f>
        <v>0</v>
      </c>
      <c r="M23" s="56">
        <f>个贷明细!BD7+'3季统计'!M23</f>
        <v>0</v>
      </c>
      <c r="N23" s="56">
        <f>个贷明细!BE7+'3季统计'!N23</f>
        <v>0</v>
      </c>
      <c r="O23" s="56">
        <f>个贷明细!BG7+'3季统计'!O23</f>
        <v>0</v>
      </c>
      <c r="P23" s="56">
        <f t="shared" ref="P23:P25" si="21">SUM(Q23,U23)</f>
        <v>0</v>
      </c>
      <c r="Q23" s="56">
        <f t="shared" ref="Q23:Q25" si="22">SUM(R23:T23)</f>
        <v>0</v>
      </c>
      <c r="R23" s="56">
        <f>企贷明细!BI7+'3季统计'!R23</f>
        <v>0</v>
      </c>
      <c r="S23" s="56">
        <f>企贷明细!BJ7+'3季统计'!S23</f>
        <v>0</v>
      </c>
      <c r="T23" s="56">
        <f>企贷明细!BK7+'3季统计'!T23</f>
        <v>0</v>
      </c>
      <c r="U23" s="56">
        <f t="shared" ref="U23:U25" si="23">SUM(V23:W23)</f>
        <v>0</v>
      </c>
      <c r="V23" s="56">
        <f>企贷明细!BL7+'3季统计'!V23</f>
        <v>0</v>
      </c>
      <c r="W23" s="56">
        <f>企贷明细!BM7+企贷明细!BO7+'3季统计'!W23</f>
        <v>0</v>
      </c>
    </row>
    <row r="24" ht="14.25" spans="1:23">
      <c r="A24" s="57" t="s">
        <v>236</v>
      </c>
      <c r="B24" s="56">
        <f t="shared" si="13"/>
        <v>0</v>
      </c>
      <c r="C24" s="56">
        <f t="shared" si="14"/>
        <v>0</v>
      </c>
      <c r="D24" s="56">
        <f t="shared" ref="D24:F24" si="24">SUM(L24,R24)</f>
        <v>0</v>
      </c>
      <c r="E24" s="56">
        <f t="shared" si="24"/>
        <v>0</v>
      </c>
      <c r="F24" s="56">
        <f t="shared" si="24"/>
        <v>0</v>
      </c>
      <c r="G24" s="56">
        <f t="shared" si="16"/>
        <v>0</v>
      </c>
      <c r="H24" s="56">
        <f t="shared" si="17"/>
        <v>0</v>
      </c>
      <c r="I24" s="56">
        <f t="shared" si="18"/>
        <v>0</v>
      </c>
      <c r="J24" s="56">
        <f t="shared" si="19"/>
        <v>0</v>
      </c>
      <c r="K24" s="56">
        <f t="shared" si="20"/>
        <v>0</v>
      </c>
      <c r="L24" s="71">
        <f>SUMPRODUCT((个贷明细!P8:P666666&gt;=设置!J23)*(个贷明细!BC8:BC666666))+'3季统计'!L24</f>
        <v>0</v>
      </c>
      <c r="M24" s="71">
        <f>SUMPRODUCT((个贷明细!P8:P666666&gt;=设置!J23)*(个贷明细!BD8:BD666666))+'3季统计'!M24</f>
        <v>0</v>
      </c>
      <c r="N24" s="56">
        <f>SUMPRODUCT((个贷明细!P8:P666666&gt;=设置!J23)*(个贷明细!BE8:BE666666))+'3季统计'!N24</f>
        <v>0</v>
      </c>
      <c r="O24" s="56">
        <f>SUMPRODUCT((个贷明细!P8:P666666&gt;=设置!J23)*(个贷明细!BG8:BG666666))+'3季统计'!O24</f>
        <v>0</v>
      </c>
      <c r="P24" s="56">
        <f t="shared" si="21"/>
        <v>0</v>
      </c>
      <c r="Q24" s="56">
        <f t="shared" si="22"/>
        <v>0</v>
      </c>
      <c r="R24" s="71">
        <f>SUMPRODUCT((企贷明细!P8:P666666&gt;=设置!J23)*(企贷明细!BI8:BI666666))+'3季统计'!R24</f>
        <v>0</v>
      </c>
      <c r="S24" s="71">
        <f>SUMPRODUCT((企贷明细!P8:P666666&gt;=设置!J23)*(企贷明细!BJ8:BJ666666))+'3季统计'!S24</f>
        <v>0</v>
      </c>
      <c r="T24" s="56">
        <f>SUMPRODUCT((企贷明细!P8:P666666&gt;=设置!J23)*(企贷明细!BK8:BK666666))+'3季统计'!T24</f>
        <v>0</v>
      </c>
      <c r="U24" s="56">
        <f t="shared" si="23"/>
        <v>0</v>
      </c>
      <c r="V24" s="56">
        <f>SUMPRODUCT((企贷明细!P8:P666666&gt;=设置!J23)*(企贷明细!BL8:BL666666))+'3季统计'!V24</f>
        <v>0</v>
      </c>
      <c r="W24" s="56">
        <f>SUMPRODUCT((企贷明细!P8:P666666&gt;=设置!J23)*(企贷明细!BM8:BM666666))+SUMPRODUCT((企贷明细!P8:P666666&gt;=设置!J23)*(企贷明细!BO8:BO666666))+'3季统计'!W24</f>
        <v>0</v>
      </c>
    </row>
    <row r="25" ht="14.25" spans="1:23">
      <c r="A25" s="57" t="s">
        <v>237</v>
      </c>
      <c r="B25" s="56">
        <f t="shared" si="13"/>
        <v>0</v>
      </c>
      <c r="C25" s="56">
        <f t="shared" si="14"/>
        <v>0</v>
      </c>
      <c r="D25" s="56">
        <f t="shared" ref="D25:F25" si="25">SUM(L25,R25)</f>
        <v>0</v>
      </c>
      <c r="E25" s="56">
        <f t="shared" si="25"/>
        <v>0</v>
      </c>
      <c r="F25" s="56">
        <f t="shared" si="25"/>
        <v>0</v>
      </c>
      <c r="G25" s="56">
        <f t="shared" si="16"/>
        <v>0</v>
      </c>
      <c r="H25" s="56">
        <f t="shared" si="17"/>
        <v>0</v>
      </c>
      <c r="I25" s="56">
        <f t="shared" si="18"/>
        <v>0</v>
      </c>
      <c r="J25" s="56">
        <f t="shared" si="19"/>
        <v>0</v>
      </c>
      <c r="K25" s="56">
        <f t="shared" si="20"/>
        <v>0</v>
      </c>
      <c r="L25" s="56">
        <f>SUMPRODUCT((个贷明细!P8:P666666&lt;设置!J23)*(个贷明细!BC8:BC666666))+'3季统计'!L25</f>
        <v>0</v>
      </c>
      <c r="M25" s="56">
        <f>SUMPRODUCT((个贷明细!P8:P666666&lt;设置!J23)*(个贷明细!BD8:BD666666))+'3季统计'!M25</f>
        <v>0</v>
      </c>
      <c r="N25" s="56">
        <f>SUMPRODUCT((个贷明细!P8:P666666&lt;设置!J23)*(个贷明细!BE8:BE666666))+'3季统计'!N25</f>
        <v>0</v>
      </c>
      <c r="O25" s="56">
        <f>SUMPRODUCT((个贷明细!P8:P666666&lt;设置!J23)*(个贷明细!BG8:BG666666))+'3季统计'!O25</f>
        <v>0</v>
      </c>
      <c r="P25" s="56">
        <f t="shared" si="21"/>
        <v>0</v>
      </c>
      <c r="Q25" s="56">
        <f t="shared" si="22"/>
        <v>0</v>
      </c>
      <c r="R25" s="56">
        <f>SUMPRODUCT((企贷明细!P8:P666666&lt;设置!J23)*(企贷明细!BI8:BI666666))+'3季统计'!R25</f>
        <v>0</v>
      </c>
      <c r="S25" s="56">
        <f>SUMPRODUCT((企贷明细!P8:P666666&lt;设置!J23)*(企贷明细!BJ8:BJ666666))+'3季统计'!S25</f>
        <v>0</v>
      </c>
      <c r="T25" s="56">
        <f>SUMPRODUCT((企贷明细!P8:P666666&lt;设置!J23)*(企贷明细!BK8:BK666666))+'3季统计'!T25</f>
        <v>0</v>
      </c>
      <c r="U25" s="56">
        <f t="shared" si="23"/>
        <v>0</v>
      </c>
      <c r="V25" s="56">
        <f>SUMPRODUCT((企贷明细!P8:P666666&lt;设置!J23)*(企贷明细!BL8:BL666666))+'3季统计'!V25</f>
        <v>0</v>
      </c>
      <c r="W25" s="56">
        <f>SUMPRODUCT((企贷明细!P8:P666666&lt;设置!J23)*(企贷明细!BM8:BM666666))+SUMPRODUCT((企贷明细!P8:P666666&lt;设置!J23)*(企贷明细!BO8:BO666666))+'3季统计'!W25</f>
        <v>0</v>
      </c>
    </row>
    <row r="28" ht="18.75" spans="1:23">
      <c r="A28" s="42" t="str">
        <f>设置!B22&amp;(IF(YEAR(设置!D23)&lt;2021/1/1,"0000",YEAR(设置!D23)))&amp;设置!C28&amp;"四季度及全年创业担保贷款财政贴息资金使用明细表"</f>
        <v>***市县2025年四季度及全年创业担保贷款财政贴息资金使用明细表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>
      <c r="A30" s="64"/>
      <c r="B30" s="64"/>
      <c r="C30" s="64"/>
      <c r="D30" s="64"/>
      <c r="E30" s="15"/>
      <c r="F30" s="15"/>
      <c r="G30" s="15"/>
      <c r="H30" s="15"/>
      <c r="J30" s="15"/>
      <c r="K30" s="72"/>
      <c r="L30" s="15"/>
      <c r="M30" s="15"/>
      <c r="N30" s="15"/>
      <c r="O30" s="15"/>
      <c r="P30" s="15"/>
      <c r="Q30" s="15"/>
      <c r="R30" s="15"/>
      <c r="S30" s="15"/>
      <c r="T30" s="15"/>
      <c r="U30" s="73" t="s">
        <v>243</v>
      </c>
      <c r="V30" s="15"/>
      <c r="W30" s="15"/>
    </row>
    <row r="31" spans="1:21">
      <c r="A31" s="65"/>
      <c r="B31" s="66" t="s">
        <v>244</v>
      </c>
      <c r="C31" s="66" t="s">
        <v>239</v>
      </c>
      <c r="D31" s="65" t="s">
        <v>245</v>
      </c>
      <c r="E31" s="65"/>
      <c r="F31" s="65"/>
      <c r="G31" s="65"/>
      <c r="H31" s="65"/>
      <c r="I31" s="65"/>
      <c r="J31" s="65"/>
      <c r="K31" s="65"/>
      <c r="L31" s="66" t="s">
        <v>279</v>
      </c>
      <c r="M31" s="66" t="s">
        <v>278</v>
      </c>
      <c r="N31" s="65" t="s">
        <v>280</v>
      </c>
      <c r="O31" s="65"/>
      <c r="P31" s="65"/>
      <c r="Q31" s="65"/>
      <c r="R31" s="65"/>
      <c r="S31" s="65"/>
      <c r="T31" s="65"/>
      <c r="U31" s="65"/>
    </row>
    <row r="32" spans="1:21">
      <c r="A32" s="65"/>
      <c r="B32" s="66"/>
      <c r="C32" s="66"/>
      <c r="D32" s="67" t="s">
        <v>204</v>
      </c>
      <c r="E32" s="63" t="s">
        <v>241</v>
      </c>
      <c r="F32" s="63"/>
      <c r="G32" s="63"/>
      <c r="H32" s="63"/>
      <c r="I32" s="63" t="s">
        <v>242</v>
      </c>
      <c r="J32" s="63"/>
      <c r="K32" s="63"/>
      <c r="L32" s="66"/>
      <c r="M32" s="66"/>
      <c r="N32" s="67" t="s">
        <v>204</v>
      </c>
      <c r="O32" s="63" t="s">
        <v>241</v>
      </c>
      <c r="P32" s="63"/>
      <c r="Q32" s="63"/>
      <c r="R32" s="63"/>
      <c r="S32" s="63" t="s">
        <v>242</v>
      </c>
      <c r="T32" s="63"/>
      <c r="U32" s="63"/>
    </row>
    <row r="33" ht="24" spans="1:21">
      <c r="A33" s="65"/>
      <c r="B33" s="66"/>
      <c r="C33" s="66"/>
      <c r="D33" s="67"/>
      <c r="E33" s="63" t="s">
        <v>246</v>
      </c>
      <c r="F33" s="63" t="s">
        <v>205</v>
      </c>
      <c r="G33" s="63" t="s">
        <v>206</v>
      </c>
      <c r="H33" s="63" t="s">
        <v>207</v>
      </c>
      <c r="I33" s="63" t="s">
        <v>246</v>
      </c>
      <c r="J33" s="63" t="s">
        <v>206</v>
      </c>
      <c r="K33" s="63" t="s">
        <v>207</v>
      </c>
      <c r="L33" s="66"/>
      <c r="M33" s="66"/>
      <c r="N33" s="67"/>
      <c r="O33" s="63" t="s">
        <v>246</v>
      </c>
      <c r="P33" s="63" t="s">
        <v>205</v>
      </c>
      <c r="Q33" s="63" t="s">
        <v>206</v>
      </c>
      <c r="R33" s="63" t="s">
        <v>207</v>
      </c>
      <c r="S33" s="63" t="s">
        <v>246</v>
      </c>
      <c r="T33" s="63" t="s">
        <v>206</v>
      </c>
      <c r="U33" s="63" t="s">
        <v>207</v>
      </c>
    </row>
    <row r="34" ht="14.25" spans="1:21">
      <c r="A34" s="65" t="s">
        <v>204</v>
      </c>
      <c r="B34" s="56">
        <f>SUMPRODUCT((个贷明细!$Q$8:$Q$666666&gt;=设置!$J$23)*(个贷明细!$Q$8:$Q$666666&lt;=设置!$J$24)*(个贷明细!$N$8:$N$666666))+SUMPRODUCT((企贷明细!$Q$8:$Q$666666&gt;=设置!$J$23)*(企贷明细!$Q$8:$Q$666666&lt;=设置!$J$24)*(企贷明细!$N$8:$N$666666))</f>
        <v>0</v>
      </c>
      <c r="C34" s="56">
        <f>SUMPRODUCT((个贷明细!$Q$8:$Q$666666&lt;(设置!$J$24+1))*(个贷明细!$R$8:$R$666666&gt;设置!$J$24)*(个贷明细!$T$8:$T$666666=0)*(个贷明细!$N$8:$N$666666))+SUMPRODUCT((个贷明细!$Q$8:$Q$666666&lt;(设置!$J$24+1))*(个贷明细!$R$8:$R$666666&gt;设置!$J$24)*(个贷明细!$T$8:$T$666666&gt;设置!$J$24)*(个贷明细!$N$8:$N$666666))+SUMPRODUCT((企贷明细!$Q$8:$Q$666666&lt;(设置!$J$24+1))*(企贷明细!$R$8:$R$666666&gt;设置!$J$24)*(企贷明细!$T$8:$T$666666=0)*(企贷明细!$N$8:$N$666666))+SUMPRODUCT((企贷明细!$Q$8:$Q$666666&lt;(设置!$J$24+1))*(企贷明细!$R$8:$R$666666&gt;设置!$J$24)*(企贷明细!$T$8:$T$666666&gt;设置!$J$24)*(企贷明细!$N$8:$N$666666))</f>
        <v>0</v>
      </c>
      <c r="D34" s="56">
        <f>SUM(E34,I34)</f>
        <v>0</v>
      </c>
      <c r="E34" s="56">
        <f>SUM(F34:H34)</f>
        <v>0</v>
      </c>
      <c r="F34" s="56">
        <f>个贷明细!$BC$7+企贷明细!$BI$7</f>
        <v>0</v>
      </c>
      <c r="G34" s="56">
        <f>个贷明细!$BD$7+企贷明细!$BJ$7</f>
        <v>0</v>
      </c>
      <c r="H34" s="56">
        <f>个贷明细!$BE$7+企贷明细!$BK$7</f>
        <v>0</v>
      </c>
      <c r="I34" s="56">
        <f>SUM(J34:K34)</f>
        <v>0</v>
      </c>
      <c r="J34" s="56">
        <f>企贷明细!$BL$7</f>
        <v>0</v>
      </c>
      <c r="K34" s="56">
        <f>个贷明细!$BG$7+企贷明细!$BM$7+企贷明细!$BO$7</f>
        <v>0</v>
      </c>
      <c r="L34" s="56">
        <f>SUMPRODUCT((个贷明细!$Q$8:$Q$666666&gt;=设置!$E$23)*(个贷明细!$Q$8:$Q$666666&lt;=设置!$J$24)*(个贷明细!$N$8:$N$666666))+SUMPRODUCT((企贷明细!$Q$8:$Q$666666&gt;=设置!$E$23)*(企贷明细!$Q$8:$Q$666666&lt;=设置!$J$24)*(企贷明细!$N$8:$N$666666))</f>
        <v>0</v>
      </c>
      <c r="M34" s="56">
        <f>SUMPRODUCT((个贷明细!$Q$8:$Q$666666&lt;(设置!$J$24+1))*(个贷明细!$R$8:$R$666666&gt;设置!$J$24)*(个贷明细!$T$8:$T$666666=0)*(个贷明细!$N$8:$N$666666))+SUMPRODUCT((个贷明细!$Q$8:$Q$666666&lt;(设置!$J$24+1))*(个贷明细!$R$8:$R$666666&gt;设置!$J$24)*(个贷明细!$T$8:$T$666666&gt;设置!$J$24)*(个贷明细!$N$8:$N$666666))+SUMPRODUCT((企贷明细!$Q$8:$Q$666666&lt;(设置!$J$24+1))*(企贷明细!$R$8:$R$666666&gt;设置!$J$24)*(企贷明细!$T$8:$T$666666=0)*(企贷明细!$N$8:$N$666666))+SUMPRODUCT((企贷明细!$Q$8:$Q$666666&lt;(设置!$J$24+1))*(企贷明细!$R$8:$R$666666&gt;设置!$J$24)*(企贷明细!$T$8:$T$666666&gt;设置!$J$24)*(企贷明细!$N$8:$N$666666))</f>
        <v>0</v>
      </c>
      <c r="N34" s="56">
        <f>SUM(O34,S34)</f>
        <v>0</v>
      </c>
      <c r="O34" s="56">
        <f>SUM(P34:R34)</f>
        <v>0</v>
      </c>
      <c r="P34" s="56">
        <f>'1季统计'!F34+'2季统计'!F34+'3季统计'!F34+F34</f>
        <v>0</v>
      </c>
      <c r="Q34" s="56">
        <f>'1季统计'!G34+'2季统计'!G34+'3季统计'!G34+G34</f>
        <v>0</v>
      </c>
      <c r="R34" s="56">
        <f>'1季统计'!H34+'2季统计'!H34+'3季统计'!H34+H34</f>
        <v>0</v>
      </c>
      <c r="S34" s="56">
        <f>SUM(T34:U34)</f>
        <v>0</v>
      </c>
      <c r="T34" s="56">
        <f>'1季统计'!J34+'2季统计'!J34+'3季统计'!J34+J34</f>
        <v>0</v>
      </c>
      <c r="U34" s="56">
        <f>'1季统计'!K34+'2季统计'!K34+'3季统计'!K34+K34</f>
        <v>0</v>
      </c>
    </row>
    <row r="35" ht="14.25" spans="1:21">
      <c r="A35" s="68" t="str">
        <f>'1季统计'!A35</f>
        <v>工商银行</v>
      </c>
      <c r="B35" s="56">
        <f>SUMPRODUCT((个贷明细!$M$8:$M$666666=A35)*(个贷明细!$Q$8:$Q$666666&gt;=设置!$J$23)*(个贷明细!$Q$8:$Q$666666&lt;=设置!$J$24)*(个贷明细!$N$8:$N$666666))+SUMPRODUCT((企贷明细!$M$8:$M$666666=A35)*(企贷明细!$Q$8:$Q$666666&gt;=设置!$J$23)*(企贷明细!$Q$8:$Q$666666&lt;=设置!$J$24)*(企贷明细!$N$8:$N$666666))</f>
        <v>0</v>
      </c>
      <c r="C35" s="56">
        <f>SUMPRODUCT((个贷明细!$M$8:$M$666666=A35)*(个贷明细!$Q$8:$Q$666666&lt;(设置!$J$24+1))*(个贷明细!$R$8:$R$666666&gt;设置!$J$24)*(个贷明细!$T$8:$T$666666=0)*(个贷明细!$N$8:$N$666666))+SUMPRODUCT((个贷明细!$M$8:$M$666666=A35)*(个贷明细!$Q$8:$Q$666666&lt;(设置!$J$24+1))*(个贷明细!$R$8:$R$666666&gt;设置!$J$24)*(个贷明细!$T$8:$T$666666&gt;设置!$J$24)*(个贷明细!$N$8:$N$666666))+SUMPRODUCT((企贷明细!$M$8:$M$666666=A35)*(企贷明细!$Q$8:$Q$666666&lt;(设置!$J$24+1))*(企贷明细!$R$8:$R$666666&gt;设置!$J$24)*(企贷明细!$T$8:$T$666666=0)*(企贷明细!$N$8:$N$666666))+SUMPRODUCT((个贷明细!$M$8:$M$666666=A35)*(企贷明细!$Q$8:$Q$666666&lt;(设置!$J$24+1))*(企贷明细!$R$8:$R$666666&gt;设置!$J$24)*(企贷明细!$T$8:$T$666666&gt;设置!$J$24)*(企贷明细!$N$8:$N$666666))</f>
        <v>0</v>
      </c>
      <c r="D35" s="56">
        <f>SUM(E35,I35)</f>
        <v>0</v>
      </c>
      <c r="E35" s="56">
        <f>SUM(F35:H35)</f>
        <v>0</v>
      </c>
      <c r="F35" s="56">
        <f>SUMPRODUCT((个贷明细!$M$8:$M$666666=A35)*(个贷明细!$BC$8:$BC$666666))+SUMPRODUCT((企贷明细!$M$8:$M$666666=A35)*(企贷明细!$BI$8:$BI$666666))</f>
        <v>0</v>
      </c>
      <c r="G35" s="56">
        <f>SUMPRODUCT((个贷明细!$M$8:$M$666666=A35)*(个贷明细!$BD$8:$BD$666666))+SUMPRODUCT((企贷明细!$M$8:$M$666666=A35)*(企贷明细!$BJ$8:$BJ$666666))</f>
        <v>0</v>
      </c>
      <c r="H35" s="56">
        <f>SUMPRODUCT((个贷明细!$M$8:$M$666666=A35)*(个贷明细!$BE$8:$BE$666666))+SUMPRODUCT((企贷明细!$M$8:$M$666666=A35)*(企贷明细!$BK$8:$BK$666666))</f>
        <v>0</v>
      </c>
      <c r="I35" s="56">
        <f>SUM(J35:K35)</f>
        <v>0</v>
      </c>
      <c r="J35" s="56">
        <f>SUMPRODUCT((企贷明细!$M$8:$M$666666=A35)*(企贷明细!$BL$8:$BL$666666))</f>
        <v>0</v>
      </c>
      <c r="K35" s="56">
        <f>SUMPRODUCT((个贷明细!$M$8:$M$666666=A35)*(个贷明细!$BG$8:$BG$666666))+SUMPRODUCT((企贷明细!$M$8:$M$666666=A35)*(企贷明细!$BM$8:$BM$666666))+SUMPRODUCT((企贷明细!$M$8:$M$666666=A35)*(企贷明细!$BO$8:$BO$666666))</f>
        <v>0</v>
      </c>
      <c r="L35" s="56">
        <f>SUMPRODUCT((个贷明细!$M$8:$M$666666=A35)*(个贷明细!$Q$8:$Q$666666&gt;=设置!$E$23)*(个贷明细!$Q$8:$Q$666666&lt;=设置!$J$24)*(个贷明细!$N$8:$N$666666))+SUMPRODUCT((企贷明细!$M$8:$M$666666=A35)*(企贷明细!$Q$8:$Q$666666&gt;=设置!$E$23)*(企贷明细!$Q$8:$Q$666666&lt;=设置!$J$24)*(企贷明细!$N$8:$N$666666))</f>
        <v>0</v>
      </c>
      <c r="M35" s="56">
        <f>SUMPRODUCT((个贷明细!$M$8:$M$666666=A35)*(个贷明细!$Q$8:$Q$666666&lt;(设置!$J$24+1))*(个贷明细!$R$8:$R$666666&gt;设置!$J$24)*(个贷明细!$T$8:$T$666666=0)*(个贷明细!$N$8:$N$666666))+SUMPRODUCT((个贷明细!$M$8:$M$666666=A35)*(个贷明细!$Q$8:$Q$666666&lt;(设置!$J$24+1))*(个贷明细!$R$8:$R$666666&gt;设置!$J$24)*(个贷明细!$T$8:$T$666666&gt;设置!$J$24)*(个贷明细!$N$8:$N$666666))+SUMPRODUCT((企贷明细!$M$8:$M$666666=A35)*(企贷明细!$Q$8:$Q$666666&lt;(设置!$J$24+1))*(企贷明细!$R$8:$R$666666&gt;设置!$J$24)*(企贷明细!$T$8:$T$666666=0)*(企贷明细!$N$8:$N$666666))+SUMPRODUCT((企贷明细!$M$8:$M$666666=A35)*(企贷明细!$Q$8:$Q$666666&lt;(设置!$J$24+1))*(企贷明细!$R$8:$R$666666&gt;设置!$J$24)*(企贷明细!$T$8:$T$666666&gt;设置!$J$24)*(企贷明细!$N$8:$N$666666))</f>
        <v>0</v>
      </c>
      <c r="N35" s="56">
        <f>SUM(O35,S35)</f>
        <v>0</v>
      </c>
      <c r="O35" s="56">
        <f>SUM(P35:R35)</f>
        <v>0</v>
      </c>
      <c r="P35" s="56">
        <f>'1季统计'!F35+'2季统计'!F35+'3季统计'!F35+F35</f>
        <v>0</v>
      </c>
      <c r="Q35" s="56">
        <f>'1季统计'!G35+'2季统计'!G35+'3季统计'!G35+G35</f>
        <v>0</v>
      </c>
      <c r="R35" s="56">
        <f>'1季统计'!H35+'2季统计'!H35+'3季统计'!H35+H35</f>
        <v>0</v>
      </c>
      <c r="S35" s="56">
        <f>SUM(T35:U35)</f>
        <v>0</v>
      </c>
      <c r="T35" s="56">
        <f>'1季统计'!J35+'2季统计'!J35+'3季统计'!J35+J35</f>
        <v>0</v>
      </c>
      <c r="U35" s="56">
        <f>'1季统计'!K35+'2季统计'!K35+'3季统计'!K35+K35</f>
        <v>0</v>
      </c>
    </row>
    <row r="36" ht="14.25" spans="1:21">
      <c r="A36" s="68" t="str">
        <f>'1季统计'!A36</f>
        <v>农业银行</v>
      </c>
      <c r="B36" s="56">
        <f>SUMPRODUCT((个贷明细!$M$8:$M$666666=A36)*(个贷明细!$Q$8:$Q$666666&gt;=设置!$J$23)*(个贷明细!$Q$8:$Q$666666&lt;=设置!$J$24)*(个贷明细!$N$8:$N$666666))+SUMPRODUCT((企贷明细!$M$8:$M$666666=A36)*(企贷明细!$Q$8:$Q$666666&gt;=设置!$J$23)*(企贷明细!$Q$8:$Q$666666&lt;=设置!$J$24)*(企贷明细!$N$8:$N$666666))</f>
        <v>0</v>
      </c>
      <c r="C36" s="56">
        <f>SUMPRODUCT((个贷明细!$M$8:$M$666666=A36)*(个贷明细!$Q$8:$Q$666666&lt;(设置!$J$24+1))*(个贷明细!$R$8:$R$666666&gt;设置!$J$24)*(个贷明细!$T$8:$T$666666=0)*(个贷明细!$N$8:$N$666666))+SUMPRODUCT((个贷明细!$M$8:$M$666666=A36)*(个贷明细!$Q$8:$Q$666666&lt;(设置!$J$24+1))*(个贷明细!$R$8:$R$666666&gt;设置!$J$24)*(个贷明细!$T$8:$T$666666&gt;设置!$J$24)*(个贷明细!$N$8:$N$666666))+SUMPRODUCT((企贷明细!$M$8:$M$666666=A36)*(企贷明细!$Q$8:$Q$666666&lt;(设置!$J$24+1))*(企贷明细!$R$8:$R$666666&gt;设置!$J$24)*(企贷明细!$T$8:$T$666666=0)*(企贷明细!$N$8:$N$666666))+SUMPRODUCT((个贷明细!$M$8:$M$666666=A36)*(企贷明细!$Q$8:$Q$666666&lt;(设置!$J$24+1))*(企贷明细!$R$8:$R$666666&gt;设置!$J$24)*(企贷明细!$T$8:$T$666666&gt;设置!$J$24)*(企贷明细!$N$8:$N$666666))</f>
        <v>0</v>
      </c>
      <c r="D36" s="56">
        <f t="shared" ref="D36:D68" si="26">SUM(E36,I36)</f>
        <v>0</v>
      </c>
      <c r="E36" s="56">
        <f t="shared" ref="E36:E68" si="27">SUM(F36:H36)</f>
        <v>0</v>
      </c>
      <c r="F36" s="56">
        <f>SUMPRODUCT((个贷明细!$M$8:$M$666666=A36)*(个贷明细!$BC$8:$BC$666666))+SUMPRODUCT((企贷明细!$M$8:$M$666666=A36)*(企贷明细!$BI$8:$BI$666666))</f>
        <v>0</v>
      </c>
      <c r="G36" s="56">
        <f>SUMPRODUCT((个贷明细!$M$8:$M$666666=A36)*(个贷明细!$BD$8:$BD$666666))+SUMPRODUCT((企贷明细!$M$8:$M$666666=A36)*(企贷明细!$BJ$8:$BJ$666666))</f>
        <v>0</v>
      </c>
      <c r="H36" s="56">
        <f>SUMPRODUCT((个贷明细!$M$8:$M$666666=A36)*(个贷明细!$BE$8:$BE$666666))+SUMPRODUCT((企贷明细!$M$8:$M$666666=A36)*(企贷明细!$BK$8:$BK$666666))</f>
        <v>0</v>
      </c>
      <c r="I36" s="56">
        <f t="shared" ref="I36:I68" si="28">SUM(J36:K36)</f>
        <v>0</v>
      </c>
      <c r="J36" s="56">
        <f>SUMPRODUCT((企贷明细!$M$8:$M$666666=A36)*(企贷明细!$BL$8:$BL$666666))</f>
        <v>0</v>
      </c>
      <c r="K36" s="56">
        <f>SUMPRODUCT((个贷明细!$M$8:$M$666666=A36)*(个贷明细!$BG$8:$BG$666666))+SUMPRODUCT((企贷明细!$M$8:$M$666666=A36)*(企贷明细!$BM$8:$BM$666666))+SUMPRODUCT((企贷明细!$M$8:$M$666666=A36)*(企贷明细!$BO$8:$BO$666666))</f>
        <v>0</v>
      </c>
      <c r="L36" s="56">
        <f>SUMPRODUCT((个贷明细!$M$8:$M$666666=A36)*(个贷明细!$Q$8:$Q$666666&gt;=设置!$E$23)*(个贷明细!$Q$8:$Q$666666&lt;=设置!$J$24)*(个贷明细!$N$8:$N$666666))+SUMPRODUCT((企贷明细!$M$8:$M$666666=A36)*(企贷明细!$Q$8:$Q$666666&gt;=设置!$E$23)*(企贷明细!$Q$8:$Q$666666&lt;=设置!$J$24)*(企贷明细!$N$8:$N$666666))</f>
        <v>0</v>
      </c>
      <c r="M36" s="56">
        <f>SUMPRODUCT((个贷明细!$M$8:$M$666666=A36)*(个贷明细!$Q$8:$Q$666666&lt;(设置!$J$24+1))*(个贷明细!$R$8:$R$666666&gt;设置!$J$24)*(个贷明细!$T$8:$T$666666=0)*(个贷明细!$N$8:$N$666666))+SUMPRODUCT((个贷明细!$M$8:$M$666666=A36)*(个贷明细!$Q$8:$Q$666666&lt;(设置!$J$24+1))*(个贷明细!$R$8:$R$666666&gt;设置!$J$24)*(个贷明细!$T$8:$T$666666&gt;设置!$J$24)*(个贷明细!$N$8:$N$666666))+SUMPRODUCT((企贷明细!$M$8:$M$666666=A36)*(企贷明细!$Q$8:$Q$666666&lt;(设置!$J$24+1))*(企贷明细!$R$8:$R$666666&gt;设置!$J$24)*(企贷明细!$T$8:$T$666666=0)*(企贷明细!$N$8:$N$666666))+SUMPRODUCT((企贷明细!$M$8:$M$666666=A36)*(企贷明细!$Q$8:$Q$666666&lt;(设置!$J$24+1))*(企贷明细!$R$8:$R$666666&gt;设置!$J$24)*(企贷明细!$T$8:$T$666666&gt;设置!$J$24)*(企贷明细!$N$8:$N$666666))</f>
        <v>0</v>
      </c>
      <c r="N36" s="56">
        <f t="shared" ref="N36:N68" si="29">SUM(O36,S36)</f>
        <v>0</v>
      </c>
      <c r="O36" s="56">
        <f t="shared" ref="O36:O68" si="30">SUM(P36:R36)</f>
        <v>0</v>
      </c>
      <c r="P36" s="56">
        <f>'1季统计'!F36+'2季统计'!F36+'3季统计'!F36+F36</f>
        <v>0</v>
      </c>
      <c r="Q36" s="56">
        <f>'1季统计'!G36+'2季统计'!G36+'3季统计'!G36+G36</f>
        <v>0</v>
      </c>
      <c r="R36" s="56">
        <f>'1季统计'!H36+'2季统计'!H36+'3季统计'!H36+H36</f>
        <v>0</v>
      </c>
      <c r="S36" s="56">
        <f t="shared" ref="S36:S68" si="31">SUM(T36:U36)</f>
        <v>0</v>
      </c>
      <c r="T36" s="56">
        <f>'1季统计'!J36+'2季统计'!J36+'3季统计'!J36+J36</f>
        <v>0</v>
      </c>
      <c r="U36" s="56">
        <f>'1季统计'!K36+'2季统计'!K36+'3季统计'!K36+K36</f>
        <v>0</v>
      </c>
    </row>
    <row r="37" ht="14.25" spans="1:21">
      <c r="A37" s="68" t="str">
        <f>'1季统计'!A37</f>
        <v>中国银行</v>
      </c>
      <c r="B37" s="56">
        <f>SUMPRODUCT((个贷明细!$M$8:$M$666666=A37)*(个贷明细!$Q$8:$Q$666666&gt;=设置!$J$23)*(个贷明细!$Q$8:$Q$666666&lt;=设置!$J$24)*(个贷明细!$N$8:$N$666666))+SUMPRODUCT((企贷明细!$M$8:$M$666666=A37)*(企贷明细!$Q$8:$Q$666666&gt;=设置!$J$23)*(企贷明细!$Q$8:$Q$666666&lt;=设置!$J$24)*(企贷明细!$N$8:$N$666666))</f>
        <v>0</v>
      </c>
      <c r="C37" s="56">
        <f>SUMPRODUCT((个贷明细!$M$8:$M$666666=A37)*(个贷明细!$Q$8:$Q$666666&lt;(设置!$J$24+1))*(个贷明细!$R$8:$R$666666&gt;设置!$J$24)*(个贷明细!$T$8:$T$666666=0)*(个贷明细!$N$8:$N$666666))+SUMPRODUCT((个贷明细!$M$8:$M$666666=A37)*(个贷明细!$Q$8:$Q$666666&lt;(设置!$J$24+1))*(个贷明细!$R$8:$R$666666&gt;设置!$J$24)*(个贷明细!$T$8:$T$666666&gt;设置!$J$24)*(个贷明细!$N$8:$N$666666))+SUMPRODUCT((企贷明细!$M$8:$M$666666=A37)*(企贷明细!$Q$8:$Q$666666&lt;(设置!$J$24+1))*(企贷明细!$R$8:$R$666666&gt;设置!$J$24)*(企贷明细!$T$8:$T$666666=0)*(企贷明细!$N$8:$N$666666))+SUMPRODUCT((个贷明细!$M$8:$M$666666=A37)*(企贷明细!$Q$8:$Q$666666&lt;(设置!$J$24+1))*(企贷明细!$R$8:$R$666666&gt;设置!$J$24)*(企贷明细!$T$8:$T$666666&gt;设置!$J$24)*(企贷明细!$N$8:$N$666666))</f>
        <v>0</v>
      </c>
      <c r="D37" s="56">
        <f t="shared" si="26"/>
        <v>0</v>
      </c>
      <c r="E37" s="56">
        <f t="shared" si="27"/>
        <v>0</v>
      </c>
      <c r="F37" s="56">
        <f>SUMPRODUCT((个贷明细!$M$8:$M$666666=A37)*(个贷明细!$BC$8:$BC$666666))+SUMPRODUCT((企贷明细!$M$8:$M$666666=A37)*(企贷明细!$BI$8:$BI$666666))</f>
        <v>0</v>
      </c>
      <c r="G37" s="56">
        <f>SUMPRODUCT((个贷明细!$M$8:$M$666666=A37)*(个贷明细!$BD$8:$BD$666666))+SUMPRODUCT((企贷明细!$M$8:$M$666666=A37)*(企贷明细!$BJ$8:$BJ$666666))</f>
        <v>0</v>
      </c>
      <c r="H37" s="56">
        <f>SUMPRODUCT((个贷明细!$M$8:$M$666666=A37)*(个贷明细!$BE$8:$BE$666666))+SUMPRODUCT((企贷明细!$M$8:$M$666666=A37)*(企贷明细!$BK$8:$BK$666666))</f>
        <v>0</v>
      </c>
      <c r="I37" s="56">
        <f t="shared" si="28"/>
        <v>0</v>
      </c>
      <c r="J37" s="56">
        <f>SUMPRODUCT((企贷明细!$M$8:$M$666666=A37)*(企贷明细!$BL$8:$BL$666666))</f>
        <v>0</v>
      </c>
      <c r="K37" s="56">
        <f>SUMPRODUCT((个贷明细!$M$8:$M$666666=A37)*(个贷明细!$BG$8:$BG$666666))+SUMPRODUCT((企贷明细!$M$8:$M$666666=A37)*(企贷明细!$BM$8:$BM$666666))+SUMPRODUCT((企贷明细!$M$8:$M$666666=A37)*(企贷明细!$BO$8:$BO$666666))</f>
        <v>0</v>
      </c>
      <c r="L37" s="56">
        <f>SUMPRODUCT((个贷明细!$M$8:$M$666666=A37)*(个贷明细!$Q$8:$Q$666666&gt;=设置!$E$23)*(个贷明细!$Q$8:$Q$666666&lt;=设置!$J$24)*(个贷明细!$N$8:$N$666666))+SUMPRODUCT((企贷明细!$M$8:$M$666666=A37)*(企贷明细!$Q$8:$Q$666666&gt;=设置!$E$23)*(企贷明细!$Q$8:$Q$666666&lt;=设置!$J$24)*(企贷明细!$N$8:$N$666666))</f>
        <v>0</v>
      </c>
      <c r="M37" s="56">
        <f>SUMPRODUCT((个贷明细!$M$8:$M$666666=A37)*(个贷明细!$Q$8:$Q$666666&lt;(设置!$J$24+1))*(个贷明细!$R$8:$R$666666&gt;设置!$J$24)*(个贷明细!$T$8:$T$666666=0)*(个贷明细!$N$8:$N$666666))+SUMPRODUCT((个贷明细!$M$8:$M$666666=A37)*(个贷明细!$Q$8:$Q$666666&lt;(设置!$J$24+1))*(个贷明细!$R$8:$R$666666&gt;设置!$J$24)*(个贷明细!$T$8:$T$666666&gt;设置!$J$24)*(个贷明细!$N$8:$N$666666))+SUMPRODUCT((企贷明细!$M$8:$M$666666=A37)*(企贷明细!$Q$8:$Q$666666&lt;(设置!$J$24+1))*(企贷明细!$R$8:$R$666666&gt;设置!$J$24)*(企贷明细!$T$8:$T$666666=0)*(企贷明细!$N$8:$N$666666))+SUMPRODUCT((企贷明细!$M$8:$M$666666=A37)*(企贷明细!$Q$8:$Q$666666&lt;(设置!$J$24+1))*(企贷明细!$R$8:$R$666666&gt;设置!$J$24)*(企贷明细!$T$8:$T$666666&gt;设置!$J$24)*(企贷明细!$N$8:$N$666666))</f>
        <v>0</v>
      </c>
      <c r="N37" s="56">
        <f t="shared" si="29"/>
        <v>0</v>
      </c>
      <c r="O37" s="56">
        <f t="shared" si="30"/>
        <v>0</v>
      </c>
      <c r="P37" s="56">
        <f>'1季统计'!F37+'2季统计'!F37+'3季统计'!F37+F37</f>
        <v>0</v>
      </c>
      <c r="Q37" s="56">
        <f>'1季统计'!G37+'2季统计'!G37+'3季统计'!G37+G37</f>
        <v>0</v>
      </c>
      <c r="R37" s="56">
        <f>'1季统计'!H37+'2季统计'!H37+'3季统计'!H37+H37</f>
        <v>0</v>
      </c>
      <c r="S37" s="56">
        <f t="shared" si="31"/>
        <v>0</v>
      </c>
      <c r="T37" s="56">
        <f>'1季统计'!J37+'2季统计'!J37+'3季统计'!J37+J37</f>
        <v>0</v>
      </c>
      <c r="U37" s="56">
        <f>'1季统计'!K37+'2季统计'!K37+'3季统计'!K37+K37</f>
        <v>0</v>
      </c>
    </row>
    <row r="38" ht="14.25" spans="1:21">
      <c r="A38" s="68" t="str">
        <f>'1季统计'!A38</f>
        <v>建设银行</v>
      </c>
      <c r="B38" s="56">
        <f>SUMPRODUCT((个贷明细!$M$8:$M$666666=A38)*(个贷明细!$Q$8:$Q$666666&gt;=设置!$J$23)*(个贷明细!$Q$8:$Q$666666&lt;=设置!$J$24)*(个贷明细!$N$8:$N$666666))+SUMPRODUCT((企贷明细!$M$8:$M$666666=A38)*(企贷明细!$Q$8:$Q$666666&gt;=设置!$J$23)*(企贷明细!$Q$8:$Q$666666&lt;=设置!$J$24)*(企贷明细!$N$8:$N$666666))</f>
        <v>0</v>
      </c>
      <c r="C38" s="56">
        <f>SUMPRODUCT((个贷明细!$M$8:$M$666666=A38)*(个贷明细!$Q$8:$Q$666666&lt;(设置!$J$24+1))*(个贷明细!$R$8:$R$666666&gt;设置!$J$24)*(个贷明细!$T$8:$T$666666=0)*(个贷明细!$N$8:$N$666666))+SUMPRODUCT((个贷明细!$M$8:$M$666666=A38)*(个贷明细!$Q$8:$Q$666666&lt;(设置!$J$24+1))*(个贷明细!$R$8:$R$666666&gt;设置!$J$24)*(个贷明细!$T$8:$T$666666&gt;设置!$J$24)*(个贷明细!$N$8:$N$666666))+SUMPRODUCT((企贷明细!$M$8:$M$666666=A38)*(企贷明细!$Q$8:$Q$666666&lt;(设置!$J$24+1))*(企贷明细!$R$8:$R$666666&gt;设置!$J$24)*(企贷明细!$T$8:$T$666666=0)*(企贷明细!$N$8:$N$666666))+SUMPRODUCT((个贷明细!$M$8:$M$666666=A38)*(企贷明细!$Q$8:$Q$666666&lt;(设置!$J$24+1))*(企贷明细!$R$8:$R$666666&gt;设置!$J$24)*(企贷明细!$T$8:$T$666666&gt;设置!$J$24)*(企贷明细!$N$8:$N$666666))</f>
        <v>0</v>
      </c>
      <c r="D38" s="56">
        <f t="shared" si="26"/>
        <v>0</v>
      </c>
      <c r="E38" s="56">
        <f t="shared" si="27"/>
        <v>0</v>
      </c>
      <c r="F38" s="56">
        <f>SUMPRODUCT((个贷明细!$M$8:$M$666666=A38)*(个贷明细!$BC$8:$BC$666666))+SUMPRODUCT((企贷明细!$M$8:$M$666666=A38)*(企贷明细!$BI$8:$BI$666666))</f>
        <v>0</v>
      </c>
      <c r="G38" s="56">
        <f>SUMPRODUCT((个贷明细!$M$8:$M$666666=A38)*(个贷明细!$BD$8:$BD$666666))+SUMPRODUCT((企贷明细!$M$8:$M$666666=A38)*(企贷明细!$BJ$8:$BJ$666666))</f>
        <v>0</v>
      </c>
      <c r="H38" s="56">
        <f>SUMPRODUCT((个贷明细!$M$8:$M$666666=A38)*(个贷明细!$BE$8:$BE$666666))+SUMPRODUCT((企贷明细!$M$8:$M$666666=A38)*(企贷明细!$BK$8:$BK$666666))</f>
        <v>0</v>
      </c>
      <c r="I38" s="56">
        <f t="shared" si="28"/>
        <v>0</v>
      </c>
      <c r="J38" s="56">
        <f>SUMPRODUCT((企贷明细!$M$8:$M$666666=A38)*(企贷明细!$BL$8:$BL$666666))</f>
        <v>0</v>
      </c>
      <c r="K38" s="56">
        <f>SUMPRODUCT((个贷明细!$M$8:$M$666666=A38)*(个贷明细!$BG$8:$BG$666666))+SUMPRODUCT((企贷明细!$M$8:$M$666666=A38)*(企贷明细!$BM$8:$BM$666666))+SUMPRODUCT((企贷明细!$M$8:$M$666666=A38)*(企贷明细!$BO$8:$BO$666666))</f>
        <v>0</v>
      </c>
      <c r="L38" s="56">
        <f>SUMPRODUCT((个贷明细!$M$8:$M$666666=A38)*(个贷明细!$Q$8:$Q$666666&gt;=设置!$E$23)*(个贷明细!$Q$8:$Q$666666&lt;=设置!$J$24)*(个贷明细!$N$8:$N$666666))+SUMPRODUCT((企贷明细!$M$8:$M$666666=A38)*(企贷明细!$Q$8:$Q$666666&gt;=设置!$E$23)*(企贷明细!$Q$8:$Q$666666&lt;=设置!$J$24)*(企贷明细!$N$8:$N$666666))</f>
        <v>0</v>
      </c>
      <c r="M38" s="56">
        <f>SUMPRODUCT((个贷明细!$M$8:$M$666666=A38)*(个贷明细!$Q$8:$Q$666666&lt;(设置!$J$24+1))*(个贷明细!$R$8:$R$666666&gt;设置!$J$24)*(个贷明细!$T$8:$T$666666=0)*(个贷明细!$N$8:$N$666666))+SUMPRODUCT((个贷明细!$M$8:$M$666666=A38)*(个贷明细!$Q$8:$Q$666666&lt;(设置!$J$24+1))*(个贷明细!$R$8:$R$666666&gt;设置!$J$24)*(个贷明细!$T$8:$T$666666&gt;设置!$J$24)*(个贷明细!$N$8:$N$666666))+SUMPRODUCT((企贷明细!$M$8:$M$666666=A38)*(企贷明细!$Q$8:$Q$666666&lt;(设置!$J$24+1))*(企贷明细!$R$8:$R$666666&gt;设置!$J$24)*(企贷明细!$T$8:$T$666666=0)*(企贷明细!$N$8:$N$666666))+SUMPRODUCT((企贷明细!$M$8:$M$666666=A38)*(企贷明细!$Q$8:$Q$666666&lt;(设置!$J$24+1))*(企贷明细!$R$8:$R$666666&gt;设置!$J$24)*(企贷明细!$T$8:$T$666666&gt;设置!$J$24)*(企贷明细!$N$8:$N$666666))</f>
        <v>0</v>
      </c>
      <c r="N38" s="56">
        <f t="shared" si="29"/>
        <v>0</v>
      </c>
      <c r="O38" s="56">
        <f t="shared" si="30"/>
        <v>0</v>
      </c>
      <c r="P38" s="56">
        <f>'1季统计'!F38+'2季统计'!F38+'3季统计'!F38+F38</f>
        <v>0</v>
      </c>
      <c r="Q38" s="56">
        <f>'1季统计'!G38+'2季统计'!G38+'3季统计'!G38+G38</f>
        <v>0</v>
      </c>
      <c r="R38" s="56">
        <f>'1季统计'!H38+'2季统计'!H38+'3季统计'!H38+H38</f>
        <v>0</v>
      </c>
      <c r="S38" s="56">
        <f t="shared" si="31"/>
        <v>0</v>
      </c>
      <c r="T38" s="56">
        <f>'1季统计'!J38+'2季统计'!J38+'3季统计'!J38+J38</f>
        <v>0</v>
      </c>
      <c r="U38" s="56">
        <f>'1季统计'!K38+'2季统计'!K38+'3季统计'!K38+K38</f>
        <v>0</v>
      </c>
    </row>
    <row r="39" ht="14.25" spans="1:21">
      <c r="A39" s="68" t="str">
        <f>'1季统计'!A39</f>
        <v>交通银行</v>
      </c>
      <c r="B39" s="56">
        <f>SUMPRODUCT((个贷明细!$M$8:$M$666666=A39)*(个贷明细!$Q$8:$Q$666666&gt;=设置!$J$23)*(个贷明细!$Q$8:$Q$666666&lt;=设置!$J$24)*(个贷明细!$N$8:$N$666666))+SUMPRODUCT((企贷明细!$M$8:$M$666666=A39)*(企贷明细!$Q$8:$Q$666666&gt;=设置!$J$23)*(企贷明细!$Q$8:$Q$666666&lt;=设置!$J$24)*(企贷明细!$N$8:$N$666666))</f>
        <v>0</v>
      </c>
      <c r="C39" s="56">
        <f>SUMPRODUCT((个贷明细!$M$8:$M$666666=A39)*(个贷明细!$Q$8:$Q$666666&lt;(设置!$J$24+1))*(个贷明细!$R$8:$R$666666&gt;设置!$J$24)*(个贷明细!$T$8:$T$666666=0)*(个贷明细!$N$8:$N$666666))+SUMPRODUCT((个贷明细!$M$8:$M$666666=A39)*(个贷明细!$Q$8:$Q$666666&lt;(设置!$J$24+1))*(个贷明细!$R$8:$R$666666&gt;设置!$J$24)*(个贷明细!$T$8:$T$666666&gt;设置!$J$24)*(个贷明细!$N$8:$N$666666))+SUMPRODUCT((企贷明细!$M$8:$M$666666=A39)*(企贷明细!$Q$8:$Q$666666&lt;(设置!$J$24+1))*(企贷明细!$R$8:$R$666666&gt;设置!$J$24)*(企贷明细!$T$8:$T$666666=0)*(企贷明细!$N$8:$N$666666))+SUMPRODUCT((个贷明细!$M$8:$M$666666=A39)*(企贷明细!$Q$8:$Q$666666&lt;(设置!$J$24+1))*(企贷明细!$R$8:$R$666666&gt;设置!$J$24)*(企贷明细!$T$8:$T$666666&gt;设置!$J$24)*(企贷明细!$N$8:$N$666666))</f>
        <v>0</v>
      </c>
      <c r="D39" s="56">
        <f t="shared" si="26"/>
        <v>0</v>
      </c>
      <c r="E39" s="56">
        <f t="shared" si="27"/>
        <v>0</v>
      </c>
      <c r="F39" s="56">
        <f>SUMPRODUCT((个贷明细!$M$8:$M$666666=A39)*(个贷明细!$BC$8:$BC$666666))+SUMPRODUCT((企贷明细!$M$8:$M$666666=A39)*(企贷明细!$BI$8:$BI$666666))</f>
        <v>0</v>
      </c>
      <c r="G39" s="56">
        <f>SUMPRODUCT((个贷明细!$M$8:$M$666666=A39)*(个贷明细!$BD$8:$BD$666666))+SUMPRODUCT((企贷明细!$M$8:$M$666666=A39)*(企贷明细!$BJ$8:$BJ$666666))</f>
        <v>0</v>
      </c>
      <c r="H39" s="56">
        <f>SUMPRODUCT((个贷明细!$M$8:$M$666666=A39)*(个贷明细!$BE$8:$BE$666666))+SUMPRODUCT((企贷明细!$M$8:$M$666666=A39)*(企贷明细!$BK$8:$BK$666666))</f>
        <v>0</v>
      </c>
      <c r="I39" s="56">
        <f t="shared" si="28"/>
        <v>0</v>
      </c>
      <c r="J39" s="56">
        <f>SUMPRODUCT((企贷明细!$M$8:$M$666666=A39)*(企贷明细!$BL$8:$BL$666666))</f>
        <v>0</v>
      </c>
      <c r="K39" s="56">
        <f>SUMPRODUCT((个贷明细!$M$8:$M$666666=A39)*(个贷明细!$BG$8:$BG$666666))+SUMPRODUCT((企贷明细!$M$8:$M$666666=A39)*(企贷明细!$BM$8:$BM$666666))+SUMPRODUCT((企贷明细!$M$8:$M$666666=A39)*(企贷明细!$BO$8:$BO$666666))</f>
        <v>0</v>
      </c>
      <c r="L39" s="56">
        <f>SUMPRODUCT((个贷明细!$M$8:$M$666666=A39)*(个贷明细!$Q$8:$Q$666666&gt;=设置!$E$23)*(个贷明细!$Q$8:$Q$666666&lt;=设置!$J$24)*(个贷明细!$N$8:$N$666666))+SUMPRODUCT((企贷明细!$M$8:$M$666666=A39)*(企贷明细!$Q$8:$Q$666666&gt;=设置!$E$23)*(企贷明细!$Q$8:$Q$666666&lt;=设置!$J$24)*(企贷明细!$N$8:$N$666666))</f>
        <v>0</v>
      </c>
      <c r="M39" s="56">
        <f>SUMPRODUCT((个贷明细!$M$8:$M$666666=A39)*(个贷明细!$Q$8:$Q$666666&lt;(设置!$J$24+1))*(个贷明细!$R$8:$R$666666&gt;设置!$J$24)*(个贷明细!$T$8:$T$666666=0)*(个贷明细!$N$8:$N$666666))+SUMPRODUCT((个贷明细!$M$8:$M$666666=A39)*(个贷明细!$Q$8:$Q$666666&lt;(设置!$J$24+1))*(个贷明细!$R$8:$R$666666&gt;设置!$J$24)*(个贷明细!$T$8:$T$666666&gt;设置!$J$24)*(个贷明细!$N$8:$N$666666))+SUMPRODUCT((企贷明细!$M$8:$M$666666=A39)*(企贷明细!$Q$8:$Q$666666&lt;(设置!$J$24+1))*(企贷明细!$R$8:$R$666666&gt;设置!$J$24)*(企贷明细!$T$8:$T$666666=0)*(企贷明细!$N$8:$N$666666))+SUMPRODUCT((企贷明细!$M$8:$M$666666=A39)*(企贷明细!$Q$8:$Q$666666&lt;(设置!$J$24+1))*(企贷明细!$R$8:$R$666666&gt;设置!$J$24)*(企贷明细!$T$8:$T$666666&gt;设置!$J$24)*(企贷明细!$N$8:$N$666666))</f>
        <v>0</v>
      </c>
      <c r="N39" s="56">
        <f t="shared" si="29"/>
        <v>0</v>
      </c>
      <c r="O39" s="56">
        <f t="shared" si="30"/>
        <v>0</v>
      </c>
      <c r="P39" s="56">
        <f>'1季统计'!F39+'2季统计'!F39+'3季统计'!F39+F39</f>
        <v>0</v>
      </c>
      <c r="Q39" s="56">
        <f>'1季统计'!G39+'2季统计'!G39+'3季统计'!G39+G39</f>
        <v>0</v>
      </c>
      <c r="R39" s="56">
        <f>'1季统计'!H39+'2季统计'!H39+'3季统计'!H39+H39</f>
        <v>0</v>
      </c>
      <c r="S39" s="56">
        <f t="shared" si="31"/>
        <v>0</v>
      </c>
      <c r="T39" s="56">
        <f>'1季统计'!J39+'2季统计'!J39+'3季统计'!J39+J39</f>
        <v>0</v>
      </c>
      <c r="U39" s="56">
        <f>'1季统计'!K39+'2季统计'!K39+'3季统计'!K39+K39</f>
        <v>0</v>
      </c>
    </row>
    <row r="40" ht="14.25" spans="1:21">
      <c r="A40" s="68" t="str">
        <f>'1季统计'!A40</f>
        <v>邮储银行</v>
      </c>
      <c r="B40" s="56">
        <f>SUMPRODUCT((个贷明细!$M$8:$M$666666=A40)*(个贷明细!$Q$8:$Q$666666&gt;=设置!$J$23)*(个贷明细!$Q$8:$Q$666666&lt;=设置!$J$24)*(个贷明细!$N$8:$N$666666))+SUMPRODUCT((企贷明细!$M$8:$M$666666=A40)*(企贷明细!$Q$8:$Q$666666&gt;=设置!$J$23)*(企贷明细!$Q$8:$Q$666666&lt;=设置!$J$24)*(企贷明细!$N$8:$N$666666))</f>
        <v>0</v>
      </c>
      <c r="C40" s="56">
        <f>SUMPRODUCT((个贷明细!$M$8:$M$666666=A40)*(个贷明细!$Q$8:$Q$666666&lt;(设置!$J$24+1))*(个贷明细!$R$8:$R$666666&gt;设置!$J$24)*(个贷明细!$T$8:$T$666666=0)*(个贷明细!$N$8:$N$666666))+SUMPRODUCT((个贷明细!$M$8:$M$666666=A40)*(个贷明细!$Q$8:$Q$666666&lt;(设置!$J$24+1))*(个贷明细!$R$8:$R$666666&gt;设置!$J$24)*(个贷明细!$T$8:$T$666666&gt;设置!$J$24)*(个贷明细!$N$8:$N$666666))+SUMPRODUCT((企贷明细!$M$8:$M$666666=A40)*(企贷明细!$Q$8:$Q$666666&lt;(设置!$J$24+1))*(企贷明细!$R$8:$R$666666&gt;设置!$J$24)*(企贷明细!$T$8:$T$666666=0)*(企贷明细!$N$8:$N$666666))+SUMPRODUCT((个贷明细!$M$8:$M$666666=A40)*(企贷明细!$Q$8:$Q$666666&lt;(设置!$J$24+1))*(企贷明细!$R$8:$R$666666&gt;设置!$J$24)*(企贷明细!$T$8:$T$666666&gt;设置!$J$24)*(企贷明细!$N$8:$N$666666))</f>
        <v>0</v>
      </c>
      <c r="D40" s="56">
        <f t="shared" si="26"/>
        <v>0</v>
      </c>
      <c r="E40" s="56">
        <f t="shared" si="27"/>
        <v>0</v>
      </c>
      <c r="F40" s="56">
        <f>SUMPRODUCT((个贷明细!$M$8:$M$666666=A40)*(个贷明细!$BC$8:$BC$666666))+SUMPRODUCT((企贷明细!$M$8:$M$666666=A40)*(企贷明细!$BI$8:$BI$666666))</f>
        <v>0</v>
      </c>
      <c r="G40" s="56">
        <f>SUMPRODUCT((个贷明细!$M$8:$M$666666=A40)*(个贷明细!$BD$8:$BD$666666))+SUMPRODUCT((企贷明细!$M$8:$M$666666=A40)*(企贷明细!$BJ$8:$BJ$666666))</f>
        <v>0</v>
      </c>
      <c r="H40" s="56">
        <f>SUMPRODUCT((个贷明细!$M$8:$M$666666=A40)*(个贷明细!$BE$8:$BE$666666))+SUMPRODUCT((企贷明细!$M$8:$M$666666=A40)*(企贷明细!$BK$8:$BK$666666))</f>
        <v>0</v>
      </c>
      <c r="I40" s="56">
        <f t="shared" si="28"/>
        <v>0</v>
      </c>
      <c r="J40" s="56">
        <f>SUMPRODUCT((企贷明细!$M$8:$M$666666=A40)*(企贷明细!$BL$8:$BL$666666))</f>
        <v>0</v>
      </c>
      <c r="K40" s="56">
        <f>SUMPRODUCT((个贷明细!$M$8:$M$666666=A40)*(个贷明细!$BG$8:$BG$666666))+SUMPRODUCT((企贷明细!$M$8:$M$666666=A40)*(企贷明细!$BM$8:$BM$666666))+SUMPRODUCT((企贷明细!$M$8:$M$666666=A40)*(企贷明细!$BO$8:$BO$666666))</f>
        <v>0</v>
      </c>
      <c r="L40" s="56">
        <f>SUMPRODUCT((个贷明细!$M$8:$M$666666=A40)*(个贷明细!$Q$8:$Q$666666&gt;=设置!$E$23)*(个贷明细!$Q$8:$Q$666666&lt;=设置!$J$24)*(个贷明细!$N$8:$N$666666))+SUMPRODUCT((企贷明细!$M$8:$M$666666=A40)*(企贷明细!$Q$8:$Q$666666&gt;=设置!$E$23)*(企贷明细!$Q$8:$Q$666666&lt;=设置!$J$24)*(企贷明细!$N$8:$N$666666))</f>
        <v>0</v>
      </c>
      <c r="M40" s="56">
        <f>SUMPRODUCT((个贷明细!$M$8:$M$666666=A40)*(个贷明细!$Q$8:$Q$666666&lt;(设置!$J$24+1))*(个贷明细!$R$8:$R$666666&gt;设置!$J$24)*(个贷明细!$T$8:$T$666666=0)*(个贷明细!$N$8:$N$666666))+SUMPRODUCT((个贷明细!$M$8:$M$666666=A40)*(个贷明细!$Q$8:$Q$666666&lt;(设置!$J$24+1))*(个贷明细!$R$8:$R$666666&gt;设置!$J$24)*(个贷明细!$T$8:$T$666666&gt;设置!$J$24)*(个贷明细!$N$8:$N$666666))+SUMPRODUCT((企贷明细!$M$8:$M$666666=A40)*(企贷明细!$Q$8:$Q$666666&lt;(设置!$J$24+1))*(企贷明细!$R$8:$R$666666&gt;设置!$J$24)*(企贷明细!$T$8:$T$666666=0)*(企贷明细!$N$8:$N$666666))+SUMPRODUCT((企贷明细!$M$8:$M$666666=A40)*(企贷明细!$Q$8:$Q$666666&lt;(设置!$J$24+1))*(企贷明细!$R$8:$R$666666&gt;设置!$J$24)*(企贷明细!$T$8:$T$666666&gt;设置!$J$24)*(企贷明细!$N$8:$N$666666))</f>
        <v>0</v>
      </c>
      <c r="N40" s="56">
        <f t="shared" si="29"/>
        <v>0</v>
      </c>
      <c r="O40" s="56">
        <f t="shared" si="30"/>
        <v>0</v>
      </c>
      <c r="P40" s="56">
        <f>'1季统计'!F40+'2季统计'!F40+'3季统计'!F40+F40</f>
        <v>0</v>
      </c>
      <c r="Q40" s="56">
        <f>'1季统计'!G40+'2季统计'!G40+'3季统计'!G40+G40</f>
        <v>0</v>
      </c>
      <c r="R40" s="56">
        <f>'1季统计'!H40+'2季统计'!H40+'3季统计'!H40+H40</f>
        <v>0</v>
      </c>
      <c r="S40" s="56">
        <f t="shared" si="31"/>
        <v>0</v>
      </c>
      <c r="T40" s="56">
        <f>'1季统计'!J40+'2季统计'!J40+'3季统计'!J40+J40</f>
        <v>0</v>
      </c>
      <c r="U40" s="56">
        <f>'1季统计'!K40+'2季统计'!K40+'3季统计'!K40+K40</f>
        <v>0</v>
      </c>
    </row>
    <row r="41" ht="14.25" spans="1:21">
      <c r="A41" s="68" t="str">
        <f>'1季统计'!A41</f>
        <v>招商银行</v>
      </c>
      <c r="B41" s="56">
        <f>SUMPRODUCT((个贷明细!$M$8:$M$666666=A41)*(个贷明细!$Q$8:$Q$666666&gt;=设置!$J$23)*(个贷明细!$Q$8:$Q$666666&lt;=设置!$J$24)*(个贷明细!$N$8:$N$666666))+SUMPRODUCT((企贷明细!$M$8:$M$666666=A41)*(企贷明细!$Q$8:$Q$666666&gt;=设置!$J$23)*(企贷明细!$Q$8:$Q$666666&lt;=设置!$J$24)*(企贷明细!$N$8:$N$666666))</f>
        <v>0</v>
      </c>
      <c r="C41" s="56">
        <f>SUMPRODUCT((个贷明细!$M$8:$M$666666=A41)*(个贷明细!$Q$8:$Q$666666&lt;(设置!$J$24+1))*(个贷明细!$R$8:$R$666666&gt;设置!$J$24)*(个贷明细!$T$8:$T$666666=0)*(个贷明细!$N$8:$N$666666))+SUMPRODUCT((个贷明细!$M$8:$M$666666=A41)*(个贷明细!$Q$8:$Q$666666&lt;(设置!$J$24+1))*(个贷明细!$R$8:$R$666666&gt;设置!$J$24)*(个贷明细!$T$8:$T$666666&gt;设置!$J$24)*(个贷明细!$N$8:$N$666666))+SUMPRODUCT((企贷明细!$M$8:$M$666666=A41)*(企贷明细!$Q$8:$Q$666666&lt;(设置!$J$24+1))*(企贷明细!$R$8:$R$666666&gt;设置!$J$24)*(企贷明细!$T$8:$T$666666=0)*(企贷明细!$N$8:$N$666666))+SUMPRODUCT((个贷明细!$M$8:$M$666666=A41)*(企贷明细!$Q$8:$Q$666666&lt;(设置!$J$24+1))*(企贷明细!$R$8:$R$666666&gt;设置!$J$24)*(企贷明细!$T$8:$T$666666&gt;设置!$J$24)*(企贷明细!$N$8:$N$666666))</f>
        <v>0</v>
      </c>
      <c r="D41" s="56">
        <f t="shared" si="26"/>
        <v>0</v>
      </c>
      <c r="E41" s="56">
        <f t="shared" si="27"/>
        <v>0</v>
      </c>
      <c r="F41" s="56">
        <f>SUMPRODUCT((个贷明细!$M$8:$M$666666=A41)*(个贷明细!$BC$8:$BC$666666))+SUMPRODUCT((企贷明细!$M$8:$M$666666=A41)*(企贷明细!$BI$8:$BI$666666))</f>
        <v>0</v>
      </c>
      <c r="G41" s="56">
        <f>SUMPRODUCT((个贷明细!$M$8:$M$666666=A41)*(个贷明细!$BD$8:$BD$666666))+SUMPRODUCT((企贷明细!$M$8:$M$666666=A41)*(企贷明细!$BJ$8:$BJ$666666))</f>
        <v>0</v>
      </c>
      <c r="H41" s="56">
        <f>SUMPRODUCT((个贷明细!$M$8:$M$666666=A41)*(个贷明细!$BE$8:$BE$666666))+SUMPRODUCT((企贷明细!$M$8:$M$666666=A41)*(企贷明细!$BK$8:$BK$666666))</f>
        <v>0</v>
      </c>
      <c r="I41" s="56">
        <f t="shared" si="28"/>
        <v>0</v>
      </c>
      <c r="J41" s="56">
        <f>SUMPRODUCT((企贷明细!$M$8:$M$666666=A41)*(企贷明细!$BL$8:$BL$666666))</f>
        <v>0</v>
      </c>
      <c r="K41" s="56">
        <f>SUMPRODUCT((个贷明细!$M$8:$M$666666=A41)*(个贷明细!$BG$8:$BG$666666))+SUMPRODUCT((企贷明细!$M$8:$M$666666=A41)*(企贷明细!$BM$8:$BM$666666))+SUMPRODUCT((企贷明细!$M$8:$M$666666=A41)*(企贷明细!$BO$8:$BO$666666))</f>
        <v>0</v>
      </c>
      <c r="L41" s="56">
        <f>SUMPRODUCT((个贷明细!$M$8:$M$666666=A41)*(个贷明细!$Q$8:$Q$666666&gt;=设置!$E$23)*(个贷明细!$Q$8:$Q$666666&lt;=设置!$J$24)*(个贷明细!$N$8:$N$666666))+SUMPRODUCT((企贷明细!$M$8:$M$666666=A41)*(企贷明细!$Q$8:$Q$666666&gt;=设置!$E$23)*(企贷明细!$Q$8:$Q$666666&lt;=设置!$J$24)*(企贷明细!$N$8:$N$666666))</f>
        <v>0</v>
      </c>
      <c r="M41" s="56">
        <f>SUMPRODUCT((个贷明细!$M$8:$M$666666=A41)*(个贷明细!$Q$8:$Q$666666&lt;(设置!$J$24+1))*(个贷明细!$R$8:$R$666666&gt;设置!$J$24)*(个贷明细!$T$8:$T$666666=0)*(个贷明细!$N$8:$N$666666))+SUMPRODUCT((个贷明细!$M$8:$M$666666=A41)*(个贷明细!$Q$8:$Q$666666&lt;(设置!$J$24+1))*(个贷明细!$R$8:$R$666666&gt;设置!$J$24)*(个贷明细!$T$8:$T$666666&gt;设置!$J$24)*(个贷明细!$N$8:$N$666666))+SUMPRODUCT((企贷明细!$M$8:$M$666666=A41)*(企贷明细!$Q$8:$Q$666666&lt;(设置!$J$24+1))*(企贷明细!$R$8:$R$666666&gt;设置!$J$24)*(企贷明细!$T$8:$T$666666=0)*(企贷明细!$N$8:$N$666666))+SUMPRODUCT((企贷明细!$M$8:$M$666666=A41)*(企贷明细!$Q$8:$Q$666666&lt;(设置!$J$24+1))*(企贷明细!$R$8:$R$666666&gt;设置!$J$24)*(企贷明细!$T$8:$T$666666&gt;设置!$J$24)*(企贷明细!$N$8:$N$666666))</f>
        <v>0</v>
      </c>
      <c r="N41" s="56">
        <f t="shared" si="29"/>
        <v>0</v>
      </c>
      <c r="O41" s="56">
        <f t="shared" si="30"/>
        <v>0</v>
      </c>
      <c r="P41" s="56">
        <f>'1季统计'!F41+'2季统计'!F41+'3季统计'!F41+F41</f>
        <v>0</v>
      </c>
      <c r="Q41" s="56">
        <f>'1季统计'!G41+'2季统计'!G41+'3季统计'!G41+G41</f>
        <v>0</v>
      </c>
      <c r="R41" s="56">
        <f>'1季统计'!H41+'2季统计'!H41+'3季统计'!H41+H41</f>
        <v>0</v>
      </c>
      <c r="S41" s="56">
        <f t="shared" si="31"/>
        <v>0</v>
      </c>
      <c r="T41" s="56">
        <f>'1季统计'!J41+'2季统计'!J41+'3季统计'!J41+J41</f>
        <v>0</v>
      </c>
      <c r="U41" s="56">
        <f>'1季统计'!K41+'2季统计'!K41+'3季统计'!K41+K41</f>
        <v>0</v>
      </c>
    </row>
    <row r="42" ht="14.25" spans="1:21">
      <c r="A42" s="68" t="str">
        <f>'1季统计'!A42</f>
        <v>中信银行</v>
      </c>
      <c r="B42" s="56">
        <f>SUMPRODUCT((个贷明细!$M$8:$M$666666=A42)*(个贷明细!$Q$8:$Q$666666&gt;=设置!$J$23)*(个贷明细!$Q$8:$Q$666666&lt;=设置!$J$24)*(个贷明细!$N$8:$N$666666))+SUMPRODUCT((企贷明细!$M$8:$M$666666=A42)*(企贷明细!$Q$8:$Q$666666&gt;=设置!$J$23)*(企贷明细!$Q$8:$Q$666666&lt;=设置!$J$24)*(企贷明细!$N$8:$N$666666))</f>
        <v>0</v>
      </c>
      <c r="C42" s="56">
        <f>SUMPRODUCT((个贷明细!$M$8:$M$666666=A42)*(个贷明细!$Q$8:$Q$666666&lt;(设置!$J$24+1))*(个贷明细!$R$8:$R$666666&gt;设置!$J$24)*(个贷明细!$T$8:$T$666666=0)*(个贷明细!$N$8:$N$666666))+SUMPRODUCT((个贷明细!$M$8:$M$666666=A42)*(个贷明细!$Q$8:$Q$666666&lt;(设置!$J$24+1))*(个贷明细!$R$8:$R$666666&gt;设置!$J$24)*(个贷明细!$T$8:$T$666666&gt;设置!$J$24)*(个贷明细!$N$8:$N$666666))+SUMPRODUCT((企贷明细!$M$8:$M$666666=A42)*(企贷明细!$Q$8:$Q$666666&lt;(设置!$J$24+1))*(企贷明细!$R$8:$R$666666&gt;设置!$J$24)*(企贷明细!$T$8:$T$666666=0)*(企贷明细!$N$8:$N$666666))+SUMPRODUCT((个贷明细!$M$8:$M$666666=A42)*(企贷明细!$Q$8:$Q$666666&lt;(设置!$J$24+1))*(企贷明细!$R$8:$R$666666&gt;设置!$J$24)*(企贷明细!$T$8:$T$666666&gt;设置!$J$24)*(企贷明细!$N$8:$N$666666))</f>
        <v>0</v>
      </c>
      <c r="D42" s="56">
        <f t="shared" si="26"/>
        <v>0</v>
      </c>
      <c r="E42" s="56">
        <f t="shared" si="27"/>
        <v>0</v>
      </c>
      <c r="F42" s="56">
        <f>SUMPRODUCT((个贷明细!$M$8:$M$666666=A42)*(个贷明细!$BC$8:$BC$666666))+SUMPRODUCT((企贷明细!$M$8:$M$666666=A42)*(企贷明细!$BI$8:$BI$666666))</f>
        <v>0</v>
      </c>
      <c r="G42" s="56">
        <f>SUMPRODUCT((个贷明细!$M$8:$M$666666=A42)*(个贷明细!$BD$8:$BD$666666))+SUMPRODUCT((企贷明细!$M$8:$M$666666=A42)*(企贷明细!$BJ$8:$BJ$666666))</f>
        <v>0</v>
      </c>
      <c r="H42" s="56">
        <f>SUMPRODUCT((个贷明细!$M$8:$M$666666=A42)*(个贷明细!$BE$8:$BE$666666))+SUMPRODUCT((企贷明细!$M$8:$M$666666=A42)*(企贷明细!$BK$8:$BK$666666))</f>
        <v>0</v>
      </c>
      <c r="I42" s="56">
        <f t="shared" si="28"/>
        <v>0</v>
      </c>
      <c r="J42" s="56">
        <f>SUMPRODUCT((企贷明细!$M$8:$M$666666=A42)*(企贷明细!$BL$8:$BL$666666))</f>
        <v>0</v>
      </c>
      <c r="K42" s="56">
        <f>SUMPRODUCT((个贷明细!$M$8:$M$666666=A42)*(个贷明细!$BG$8:$BG$666666))+SUMPRODUCT((企贷明细!$M$8:$M$666666=A42)*(企贷明细!$BM$8:$BM$666666))+SUMPRODUCT((企贷明细!$M$8:$M$666666=A42)*(企贷明细!$BO$8:$BO$666666))</f>
        <v>0</v>
      </c>
      <c r="L42" s="56">
        <f>SUMPRODUCT((个贷明细!$M$8:$M$666666=A42)*(个贷明细!$Q$8:$Q$666666&gt;=设置!$E$23)*(个贷明细!$Q$8:$Q$666666&lt;=设置!$J$24)*(个贷明细!$N$8:$N$666666))+SUMPRODUCT((企贷明细!$M$8:$M$666666=A42)*(企贷明细!$Q$8:$Q$666666&gt;=设置!$E$23)*(企贷明细!$Q$8:$Q$666666&lt;=设置!$J$24)*(企贷明细!$N$8:$N$666666))</f>
        <v>0</v>
      </c>
      <c r="M42" s="56">
        <f>SUMPRODUCT((个贷明细!$M$8:$M$666666=A42)*(个贷明细!$Q$8:$Q$666666&lt;(设置!$J$24+1))*(个贷明细!$R$8:$R$666666&gt;设置!$J$24)*(个贷明细!$T$8:$T$666666=0)*(个贷明细!$N$8:$N$666666))+SUMPRODUCT((个贷明细!$M$8:$M$666666=A42)*(个贷明细!$Q$8:$Q$666666&lt;(设置!$J$24+1))*(个贷明细!$R$8:$R$666666&gt;设置!$J$24)*(个贷明细!$T$8:$T$666666&gt;设置!$J$24)*(个贷明细!$N$8:$N$666666))+SUMPRODUCT((企贷明细!$M$8:$M$666666=A42)*(企贷明细!$Q$8:$Q$666666&lt;(设置!$J$24+1))*(企贷明细!$R$8:$R$666666&gt;设置!$J$24)*(企贷明细!$T$8:$T$666666=0)*(企贷明细!$N$8:$N$666666))+SUMPRODUCT((企贷明细!$M$8:$M$666666=A42)*(企贷明细!$Q$8:$Q$666666&lt;(设置!$J$24+1))*(企贷明细!$R$8:$R$666666&gt;设置!$J$24)*(企贷明细!$T$8:$T$666666&gt;设置!$J$24)*(企贷明细!$N$8:$N$666666))</f>
        <v>0</v>
      </c>
      <c r="N42" s="56">
        <f t="shared" si="29"/>
        <v>0</v>
      </c>
      <c r="O42" s="56">
        <f t="shared" si="30"/>
        <v>0</v>
      </c>
      <c r="P42" s="56">
        <f>'1季统计'!F42+'2季统计'!F42+'3季统计'!F42+F42</f>
        <v>0</v>
      </c>
      <c r="Q42" s="56">
        <f>'1季统计'!G42+'2季统计'!G42+'3季统计'!G42+G42</f>
        <v>0</v>
      </c>
      <c r="R42" s="56">
        <f>'1季统计'!H42+'2季统计'!H42+'3季统计'!H42+H42</f>
        <v>0</v>
      </c>
      <c r="S42" s="56">
        <f t="shared" si="31"/>
        <v>0</v>
      </c>
      <c r="T42" s="56">
        <f>'1季统计'!J42+'2季统计'!J42+'3季统计'!J42+J42</f>
        <v>0</v>
      </c>
      <c r="U42" s="56">
        <f>'1季统计'!K42+'2季统计'!K42+'3季统计'!K42+K42</f>
        <v>0</v>
      </c>
    </row>
    <row r="43" ht="14.25" spans="1:21">
      <c r="A43" s="68" t="str">
        <f>'1季统计'!A43</f>
        <v>光大银行</v>
      </c>
      <c r="B43" s="56">
        <f>SUMPRODUCT((个贷明细!$M$8:$M$666666=A43)*(个贷明细!$Q$8:$Q$666666&gt;=设置!$J$23)*(个贷明细!$Q$8:$Q$666666&lt;=设置!$J$24)*(个贷明细!$N$8:$N$666666))+SUMPRODUCT((企贷明细!$M$8:$M$666666=A43)*(企贷明细!$Q$8:$Q$666666&gt;=设置!$J$23)*(企贷明细!$Q$8:$Q$666666&lt;=设置!$J$24)*(企贷明细!$N$8:$N$666666))</f>
        <v>0</v>
      </c>
      <c r="C43" s="56">
        <f>SUMPRODUCT((个贷明细!$M$8:$M$666666=A43)*(个贷明细!$Q$8:$Q$666666&lt;(设置!$J$24+1))*(个贷明细!$R$8:$R$666666&gt;设置!$J$24)*(个贷明细!$T$8:$T$666666=0)*(个贷明细!$N$8:$N$666666))+SUMPRODUCT((个贷明细!$M$8:$M$666666=A43)*(个贷明细!$Q$8:$Q$666666&lt;(设置!$J$24+1))*(个贷明细!$R$8:$R$666666&gt;设置!$J$24)*(个贷明细!$T$8:$T$666666&gt;设置!$J$24)*(个贷明细!$N$8:$N$666666))+SUMPRODUCT((企贷明细!$M$8:$M$666666=A43)*(企贷明细!$Q$8:$Q$666666&lt;(设置!$J$24+1))*(企贷明细!$R$8:$R$666666&gt;设置!$J$24)*(企贷明细!$T$8:$T$666666=0)*(企贷明细!$N$8:$N$666666))+SUMPRODUCT((个贷明细!$M$8:$M$666666=A43)*(企贷明细!$Q$8:$Q$666666&lt;(设置!$J$24+1))*(企贷明细!$R$8:$R$666666&gt;设置!$J$24)*(企贷明细!$T$8:$T$666666&gt;设置!$J$24)*(企贷明细!$N$8:$N$666666))</f>
        <v>0</v>
      </c>
      <c r="D43" s="56">
        <f t="shared" si="26"/>
        <v>0</v>
      </c>
      <c r="E43" s="56">
        <f t="shared" si="27"/>
        <v>0</v>
      </c>
      <c r="F43" s="56">
        <f>SUMPRODUCT((个贷明细!$M$8:$M$666666=A43)*(个贷明细!$BC$8:$BC$666666))+SUMPRODUCT((企贷明细!$M$8:$M$666666=A43)*(企贷明细!$BI$8:$BI$666666))</f>
        <v>0</v>
      </c>
      <c r="G43" s="56">
        <f>SUMPRODUCT((个贷明细!$M$8:$M$666666=A43)*(个贷明细!$BD$8:$BD$666666))+SUMPRODUCT((企贷明细!$M$8:$M$666666=A43)*(企贷明细!$BJ$8:$BJ$666666))</f>
        <v>0</v>
      </c>
      <c r="H43" s="56">
        <f>SUMPRODUCT((个贷明细!$M$8:$M$666666=A43)*(个贷明细!$BE$8:$BE$666666))+SUMPRODUCT((企贷明细!$M$8:$M$666666=A43)*(企贷明细!$BK$8:$BK$666666))</f>
        <v>0</v>
      </c>
      <c r="I43" s="56">
        <f t="shared" si="28"/>
        <v>0</v>
      </c>
      <c r="J43" s="56">
        <f>SUMPRODUCT((企贷明细!$M$8:$M$666666=A43)*(企贷明细!$BL$8:$BL$666666))</f>
        <v>0</v>
      </c>
      <c r="K43" s="56">
        <f>SUMPRODUCT((个贷明细!$M$8:$M$666666=A43)*(个贷明细!$BG$8:$BG$666666))+SUMPRODUCT((企贷明细!$M$8:$M$666666=A43)*(企贷明细!$BM$8:$BM$666666))+SUMPRODUCT((企贷明细!$M$8:$M$666666=A43)*(企贷明细!$BO$8:$BO$666666))</f>
        <v>0</v>
      </c>
      <c r="L43" s="56">
        <f>SUMPRODUCT((个贷明细!$M$8:$M$666666=A43)*(个贷明细!$Q$8:$Q$666666&gt;=设置!$E$23)*(个贷明细!$Q$8:$Q$666666&lt;=设置!$J$24)*(个贷明细!$N$8:$N$666666))+SUMPRODUCT((企贷明细!$M$8:$M$666666=A43)*(企贷明细!$Q$8:$Q$666666&gt;=设置!$E$23)*(企贷明细!$Q$8:$Q$666666&lt;=设置!$J$24)*(企贷明细!$N$8:$N$666666))</f>
        <v>0</v>
      </c>
      <c r="M43" s="56">
        <f>SUMPRODUCT((个贷明细!$M$8:$M$666666=A43)*(个贷明细!$Q$8:$Q$666666&lt;(设置!$J$24+1))*(个贷明细!$R$8:$R$666666&gt;设置!$J$24)*(个贷明细!$T$8:$T$666666=0)*(个贷明细!$N$8:$N$666666))+SUMPRODUCT((个贷明细!$M$8:$M$666666=A43)*(个贷明细!$Q$8:$Q$666666&lt;(设置!$J$24+1))*(个贷明细!$R$8:$R$666666&gt;设置!$J$24)*(个贷明细!$T$8:$T$666666&gt;设置!$J$24)*(个贷明细!$N$8:$N$666666))+SUMPRODUCT((企贷明细!$M$8:$M$666666=A43)*(企贷明细!$Q$8:$Q$666666&lt;(设置!$J$24+1))*(企贷明细!$R$8:$R$666666&gt;设置!$J$24)*(企贷明细!$T$8:$T$666666=0)*(企贷明细!$N$8:$N$666666))+SUMPRODUCT((企贷明细!$M$8:$M$666666=A43)*(企贷明细!$Q$8:$Q$666666&lt;(设置!$J$24+1))*(企贷明细!$R$8:$R$666666&gt;设置!$J$24)*(企贷明细!$T$8:$T$666666&gt;设置!$J$24)*(企贷明细!$N$8:$N$666666))</f>
        <v>0</v>
      </c>
      <c r="N43" s="56">
        <f t="shared" si="29"/>
        <v>0</v>
      </c>
      <c r="O43" s="56">
        <f t="shared" si="30"/>
        <v>0</v>
      </c>
      <c r="P43" s="56">
        <f>'1季统计'!F43+'2季统计'!F43+'3季统计'!F43+F43</f>
        <v>0</v>
      </c>
      <c r="Q43" s="56">
        <f>'1季统计'!G43+'2季统计'!G43+'3季统计'!G43+G43</f>
        <v>0</v>
      </c>
      <c r="R43" s="56">
        <f>'1季统计'!H43+'2季统计'!H43+'3季统计'!H43+H43</f>
        <v>0</v>
      </c>
      <c r="S43" s="56">
        <f t="shared" si="31"/>
        <v>0</v>
      </c>
      <c r="T43" s="56">
        <f>'1季统计'!J43+'2季统计'!J43+'3季统计'!J43+J43</f>
        <v>0</v>
      </c>
      <c r="U43" s="56">
        <f>'1季统计'!K43+'2季统计'!K43+'3季统计'!K43+K43</f>
        <v>0</v>
      </c>
    </row>
    <row r="44" ht="14.25" spans="1:21">
      <c r="A44" s="68" t="str">
        <f>'1季统计'!A44</f>
        <v>华夏银行</v>
      </c>
      <c r="B44" s="56">
        <f>SUMPRODUCT((个贷明细!$M$8:$M$666666=A44)*(个贷明细!$Q$8:$Q$666666&gt;=设置!$J$23)*(个贷明细!$Q$8:$Q$666666&lt;=设置!$J$24)*(个贷明细!$N$8:$N$666666))+SUMPRODUCT((企贷明细!$M$8:$M$666666=A44)*(企贷明细!$Q$8:$Q$666666&gt;=设置!$J$23)*(企贷明细!$Q$8:$Q$666666&lt;=设置!$J$24)*(企贷明细!$N$8:$N$666666))</f>
        <v>0</v>
      </c>
      <c r="C44" s="56">
        <f>SUMPRODUCT((个贷明细!$M$8:$M$666666=A44)*(个贷明细!$Q$8:$Q$666666&lt;(设置!$J$24+1))*(个贷明细!$R$8:$R$666666&gt;设置!$J$24)*(个贷明细!$T$8:$T$666666=0)*(个贷明细!$N$8:$N$666666))+SUMPRODUCT((个贷明细!$M$8:$M$666666=A44)*(个贷明细!$Q$8:$Q$666666&lt;(设置!$J$24+1))*(个贷明细!$R$8:$R$666666&gt;设置!$J$24)*(个贷明细!$T$8:$T$666666&gt;设置!$J$24)*(个贷明细!$N$8:$N$666666))+SUMPRODUCT((企贷明细!$M$8:$M$666666=A44)*(企贷明细!$Q$8:$Q$666666&lt;(设置!$J$24+1))*(企贷明细!$R$8:$R$666666&gt;设置!$J$24)*(企贷明细!$T$8:$T$666666=0)*(企贷明细!$N$8:$N$666666))+SUMPRODUCT((个贷明细!$M$8:$M$666666=A44)*(企贷明细!$Q$8:$Q$666666&lt;(设置!$J$24+1))*(企贷明细!$R$8:$R$666666&gt;设置!$J$24)*(企贷明细!$T$8:$T$666666&gt;设置!$J$24)*(企贷明细!$N$8:$N$666666))</f>
        <v>0</v>
      </c>
      <c r="D44" s="56">
        <f t="shared" si="26"/>
        <v>0</v>
      </c>
      <c r="E44" s="56">
        <f t="shared" si="27"/>
        <v>0</v>
      </c>
      <c r="F44" s="56">
        <f>SUMPRODUCT((个贷明细!$M$8:$M$666666=A44)*(个贷明细!$BC$8:$BC$666666))+SUMPRODUCT((企贷明细!$M$8:$M$666666=A44)*(企贷明细!$BI$8:$BI$666666))</f>
        <v>0</v>
      </c>
      <c r="G44" s="56">
        <f>SUMPRODUCT((个贷明细!$M$8:$M$666666=A44)*(个贷明细!$BD$8:$BD$666666))+SUMPRODUCT((企贷明细!$M$8:$M$666666=A44)*(企贷明细!$BJ$8:$BJ$666666))</f>
        <v>0</v>
      </c>
      <c r="H44" s="56">
        <f>SUMPRODUCT((个贷明细!$M$8:$M$666666=A44)*(个贷明细!$BE$8:$BE$666666))+SUMPRODUCT((企贷明细!$M$8:$M$666666=A44)*(企贷明细!$BK$8:$BK$666666))</f>
        <v>0</v>
      </c>
      <c r="I44" s="56">
        <f t="shared" si="28"/>
        <v>0</v>
      </c>
      <c r="J44" s="56">
        <f>SUMPRODUCT((企贷明细!$M$8:$M$666666=A44)*(企贷明细!$BL$8:$BL$666666))</f>
        <v>0</v>
      </c>
      <c r="K44" s="56">
        <f>SUMPRODUCT((个贷明细!$M$8:$M$666666=A44)*(个贷明细!$BG$8:$BG$666666))+SUMPRODUCT((企贷明细!$M$8:$M$666666=A44)*(企贷明细!$BM$8:$BM$666666))+SUMPRODUCT((企贷明细!$M$8:$M$666666=A44)*(企贷明细!$BO$8:$BO$666666))</f>
        <v>0</v>
      </c>
      <c r="L44" s="56">
        <f>SUMPRODUCT((个贷明细!$M$8:$M$666666=A44)*(个贷明细!$Q$8:$Q$666666&gt;=设置!$E$23)*(个贷明细!$Q$8:$Q$666666&lt;=设置!$J$24)*(个贷明细!$N$8:$N$666666))+SUMPRODUCT((企贷明细!$M$8:$M$666666=A44)*(企贷明细!$Q$8:$Q$666666&gt;=设置!$E$23)*(企贷明细!$Q$8:$Q$666666&lt;=设置!$J$24)*(企贷明细!$N$8:$N$666666))</f>
        <v>0</v>
      </c>
      <c r="M44" s="56">
        <f>SUMPRODUCT((个贷明细!$M$8:$M$666666=A44)*(个贷明细!$Q$8:$Q$666666&lt;(设置!$J$24+1))*(个贷明细!$R$8:$R$666666&gt;设置!$J$24)*(个贷明细!$T$8:$T$666666=0)*(个贷明细!$N$8:$N$666666))+SUMPRODUCT((个贷明细!$M$8:$M$666666=A44)*(个贷明细!$Q$8:$Q$666666&lt;(设置!$J$24+1))*(个贷明细!$R$8:$R$666666&gt;设置!$J$24)*(个贷明细!$T$8:$T$666666&gt;设置!$J$24)*(个贷明细!$N$8:$N$666666))+SUMPRODUCT((企贷明细!$M$8:$M$666666=A44)*(企贷明细!$Q$8:$Q$666666&lt;(设置!$J$24+1))*(企贷明细!$R$8:$R$666666&gt;设置!$J$24)*(企贷明细!$T$8:$T$666666=0)*(企贷明细!$N$8:$N$666666))+SUMPRODUCT((企贷明细!$M$8:$M$666666=A44)*(企贷明细!$Q$8:$Q$666666&lt;(设置!$J$24+1))*(企贷明细!$R$8:$R$666666&gt;设置!$J$24)*(企贷明细!$T$8:$T$666666&gt;设置!$J$24)*(企贷明细!$N$8:$N$666666))</f>
        <v>0</v>
      </c>
      <c r="N44" s="56">
        <f t="shared" si="29"/>
        <v>0</v>
      </c>
      <c r="O44" s="56">
        <f t="shared" si="30"/>
        <v>0</v>
      </c>
      <c r="P44" s="56">
        <f>'1季统计'!F44+'2季统计'!F44+'3季统计'!F44+F44</f>
        <v>0</v>
      </c>
      <c r="Q44" s="56">
        <f>'1季统计'!G44+'2季统计'!G44+'3季统计'!G44+G44</f>
        <v>0</v>
      </c>
      <c r="R44" s="56">
        <f>'1季统计'!H44+'2季统计'!H44+'3季统计'!H44+H44</f>
        <v>0</v>
      </c>
      <c r="S44" s="56">
        <f t="shared" si="31"/>
        <v>0</v>
      </c>
      <c r="T44" s="56">
        <f>'1季统计'!J44+'2季统计'!J44+'3季统计'!J44+J44</f>
        <v>0</v>
      </c>
      <c r="U44" s="56">
        <f>'1季统计'!K44+'2季统计'!K44+'3季统计'!K44+K44</f>
        <v>0</v>
      </c>
    </row>
    <row r="45" ht="14.25" spans="1:21">
      <c r="A45" s="68" t="str">
        <f>'1季统计'!A45</f>
        <v>浦发银行</v>
      </c>
      <c r="B45" s="56">
        <f>SUMPRODUCT((个贷明细!$M$8:$M$666666=A45)*(个贷明细!$Q$8:$Q$666666&gt;=设置!$J$23)*(个贷明细!$Q$8:$Q$666666&lt;=设置!$J$24)*(个贷明细!$N$8:$N$666666))+SUMPRODUCT((企贷明细!$M$8:$M$666666=A45)*(企贷明细!$Q$8:$Q$666666&gt;=设置!$J$23)*(企贷明细!$Q$8:$Q$666666&lt;=设置!$J$24)*(企贷明细!$N$8:$N$666666))</f>
        <v>0</v>
      </c>
      <c r="C45" s="56">
        <f>SUMPRODUCT((个贷明细!$M$8:$M$666666=A45)*(个贷明细!$Q$8:$Q$666666&lt;(设置!$J$24+1))*(个贷明细!$R$8:$R$666666&gt;设置!$J$24)*(个贷明细!$T$8:$T$666666=0)*(个贷明细!$N$8:$N$666666))+SUMPRODUCT((个贷明细!$M$8:$M$666666=A45)*(个贷明细!$Q$8:$Q$666666&lt;(设置!$J$24+1))*(个贷明细!$R$8:$R$666666&gt;设置!$J$24)*(个贷明细!$T$8:$T$666666&gt;设置!$J$24)*(个贷明细!$N$8:$N$666666))+SUMPRODUCT((企贷明细!$M$8:$M$666666=A45)*(企贷明细!$Q$8:$Q$666666&lt;(设置!$J$24+1))*(企贷明细!$R$8:$R$666666&gt;设置!$J$24)*(企贷明细!$T$8:$T$666666=0)*(企贷明细!$N$8:$N$666666))+SUMPRODUCT((个贷明细!$M$8:$M$666666=A45)*(企贷明细!$Q$8:$Q$666666&lt;(设置!$J$24+1))*(企贷明细!$R$8:$R$666666&gt;设置!$J$24)*(企贷明细!$T$8:$T$666666&gt;设置!$J$24)*(企贷明细!$N$8:$N$666666))</f>
        <v>0</v>
      </c>
      <c r="D45" s="56">
        <f t="shared" si="26"/>
        <v>0</v>
      </c>
      <c r="E45" s="56">
        <f t="shared" si="27"/>
        <v>0</v>
      </c>
      <c r="F45" s="56">
        <f>SUMPRODUCT((个贷明细!$M$8:$M$666666=A45)*(个贷明细!$BC$8:$BC$666666))+SUMPRODUCT((企贷明细!$M$8:$M$666666=A45)*(企贷明细!$BI$8:$BI$666666))</f>
        <v>0</v>
      </c>
      <c r="G45" s="56">
        <f>SUMPRODUCT((个贷明细!$M$8:$M$666666=A45)*(个贷明细!$BD$8:$BD$666666))+SUMPRODUCT((企贷明细!$M$8:$M$666666=A45)*(企贷明细!$BJ$8:$BJ$666666))</f>
        <v>0</v>
      </c>
      <c r="H45" s="56">
        <f>SUMPRODUCT((个贷明细!$M$8:$M$666666=A45)*(个贷明细!$BE$8:$BE$666666))+SUMPRODUCT((企贷明细!$M$8:$M$666666=A45)*(企贷明细!$BK$8:$BK$666666))</f>
        <v>0</v>
      </c>
      <c r="I45" s="56">
        <f t="shared" si="28"/>
        <v>0</v>
      </c>
      <c r="J45" s="56">
        <f>SUMPRODUCT((企贷明细!$M$8:$M$666666=A45)*(企贷明细!$BL$8:$BL$666666))</f>
        <v>0</v>
      </c>
      <c r="K45" s="56">
        <f>SUMPRODUCT((个贷明细!$M$8:$M$666666=A45)*(个贷明细!$BG$8:$BG$666666))+SUMPRODUCT((企贷明细!$M$8:$M$666666=A45)*(企贷明细!$BM$8:$BM$666666))+SUMPRODUCT((企贷明细!$M$8:$M$666666=A45)*(企贷明细!$BO$8:$BO$666666))</f>
        <v>0</v>
      </c>
      <c r="L45" s="56">
        <f>SUMPRODUCT((个贷明细!$M$8:$M$666666=A45)*(个贷明细!$Q$8:$Q$666666&gt;=设置!$E$23)*(个贷明细!$Q$8:$Q$666666&lt;=设置!$J$24)*(个贷明细!$N$8:$N$666666))+SUMPRODUCT((企贷明细!$M$8:$M$666666=A45)*(企贷明细!$Q$8:$Q$666666&gt;=设置!$E$23)*(企贷明细!$Q$8:$Q$666666&lt;=设置!$J$24)*(企贷明细!$N$8:$N$666666))</f>
        <v>0</v>
      </c>
      <c r="M45" s="56">
        <f>SUMPRODUCT((个贷明细!$M$8:$M$666666=A45)*(个贷明细!$Q$8:$Q$666666&lt;(设置!$J$24+1))*(个贷明细!$R$8:$R$666666&gt;设置!$J$24)*(个贷明细!$T$8:$T$666666=0)*(个贷明细!$N$8:$N$666666))+SUMPRODUCT((个贷明细!$M$8:$M$666666=A45)*(个贷明细!$Q$8:$Q$666666&lt;(设置!$J$24+1))*(个贷明细!$R$8:$R$666666&gt;设置!$J$24)*(个贷明细!$T$8:$T$666666&gt;设置!$J$24)*(个贷明细!$N$8:$N$666666))+SUMPRODUCT((企贷明细!$M$8:$M$666666=A45)*(企贷明细!$Q$8:$Q$666666&lt;(设置!$J$24+1))*(企贷明细!$R$8:$R$666666&gt;设置!$J$24)*(企贷明细!$T$8:$T$666666=0)*(企贷明细!$N$8:$N$666666))+SUMPRODUCT((企贷明细!$M$8:$M$666666=A45)*(企贷明细!$Q$8:$Q$666666&lt;(设置!$J$24+1))*(企贷明细!$R$8:$R$666666&gt;设置!$J$24)*(企贷明细!$T$8:$T$666666&gt;设置!$J$24)*(企贷明细!$N$8:$N$666666))</f>
        <v>0</v>
      </c>
      <c r="N45" s="56">
        <f t="shared" si="29"/>
        <v>0</v>
      </c>
      <c r="O45" s="56">
        <f t="shared" si="30"/>
        <v>0</v>
      </c>
      <c r="P45" s="56">
        <f>'1季统计'!F45+'2季统计'!F45+'3季统计'!F45+F45</f>
        <v>0</v>
      </c>
      <c r="Q45" s="56">
        <f>'1季统计'!G45+'2季统计'!G45+'3季统计'!G45+G45</f>
        <v>0</v>
      </c>
      <c r="R45" s="56">
        <f>'1季统计'!H45+'2季统计'!H45+'3季统计'!H45+H45</f>
        <v>0</v>
      </c>
      <c r="S45" s="56">
        <f t="shared" si="31"/>
        <v>0</v>
      </c>
      <c r="T45" s="56">
        <f>'1季统计'!J45+'2季统计'!J45+'3季统计'!J45+J45</f>
        <v>0</v>
      </c>
      <c r="U45" s="56">
        <f>'1季统计'!K45+'2季统计'!K45+'3季统计'!K45+K45</f>
        <v>0</v>
      </c>
    </row>
    <row r="46" ht="14.25" spans="1:21">
      <c r="A46" s="68" t="str">
        <f>'1季统计'!A46</f>
        <v>民生银行</v>
      </c>
      <c r="B46" s="56">
        <f>SUMPRODUCT((个贷明细!$M$8:$M$666666=A46)*(个贷明细!$Q$8:$Q$666666&gt;=设置!$J$23)*(个贷明细!$Q$8:$Q$666666&lt;=设置!$J$24)*(个贷明细!$N$8:$N$666666))+SUMPRODUCT((企贷明细!$M$8:$M$666666=A46)*(企贷明细!$Q$8:$Q$666666&gt;=设置!$J$23)*(企贷明细!$Q$8:$Q$666666&lt;=设置!$J$24)*(企贷明细!$N$8:$N$666666))</f>
        <v>0</v>
      </c>
      <c r="C46" s="56">
        <f>SUMPRODUCT((个贷明细!$M$8:$M$666666=A46)*(个贷明细!$Q$8:$Q$666666&lt;(设置!$J$24+1))*(个贷明细!$R$8:$R$666666&gt;设置!$J$24)*(个贷明细!$T$8:$T$666666=0)*(个贷明细!$N$8:$N$666666))+SUMPRODUCT((个贷明细!$M$8:$M$666666=A46)*(个贷明细!$Q$8:$Q$666666&lt;(设置!$J$24+1))*(个贷明细!$R$8:$R$666666&gt;设置!$J$24)*(个贷明细!$T$8:$T$666666&gt;设置!$J$24)*(个贷明细!$N$8:$N$666666))+SUMPRODUCT((企贷明细!$M$8:$M$666666=A46)*(企贷明细!$Q$8:$Q$666666&lt;(设置!$J$24+1))*(企贷明细!$R$8:$R$666666&gt;设置!$J$24)*(企贷明细!$T$8:$T$666666=0)*(企贷明细!$N$8:$N$666666))+SUMPRODUCT((个贷明细!$M$8:$M$666666=A46)*(企贷明细!$Q$8:$Q$666666&lt;(设置!$J$24+1))*(企贷明细!$R$8:$R$666666&gt;设置!$J$24)*(企贷明细!$T$8:$T$666666&gt;设置!$J$24)*(企贷明细!$N$8:$N$666666))</f>
        <v>0</v>
      </c>
      <c r="D46" s="56">
        <f t="shared" si="26"/>
        <v>0</v>
      </c>
      <c r="E46" s="56">
        <f t="shared" si="27"/>
        <v>0</v>
      </c>
      <c r="F46" s="56">
        <f>SUMPRODUCT((个贷明细!$M$8:$M$666666=A46)*(个贷明细!$BC$8:$BC$666666))+SUMPRODUCT((企贷明细!$M$8:$M$666666=A46)*(企贷明细!$BI$8:$BI$666666))</f>
        <v>0</v>
      </c>
      <c r="G46" s="56">
        <f>SUMPRODUCT((个贷明细!$M$8:$M$666666=A46)*(个贷明细!$BD$8:$BD$666666))+SUMPRODUCT((企贷明细!$M$8:$M$666666=A46)*(企贷明细!$BJ$8:$BJ$666666))</f>
        <v>0</v>
      </c>
      <c r="H46" s="56">
        <f>SUMPRODUCT((个贷明细!$M$8:$M$666666=A46)*(个贷明细!$BE$8:$BE$666666))+SUMPRODUCT((企贷明细!$M$8:$M$666666=A46)*(企贷明细!$BK$8:$BK$666666))</f>
        <v>0</v>
      </c>
      <c r="I46" s="56">
        <f t="shared" si="28"/>
        <v>0</v>
      </c>
      <c r="J46" s="56">
        <f>SUMPRODUCT((企贷明细!$M$8:$M$666666=A46)*(企贷明细!$BL$8:$BL$666666))</f>
        <v>0</v>
      </c>
      <c r="K46" s="56">
        <f>SUMPRODUCT((个贷明细!$M$8:$M$666666=A46)*(个贷明细!$BG$8:$BG$666666))+SUMPRODUCT((企贷明细!$M$8:$M$666666=A46)*(企贷明细!$BM$8:$BM$666666))+SUMPRODUCT((企贷明细!$M$8:$M$666666=A46)*(企贷明细!$BO$8:$BO$666666))</f>
        <v>0</v>
      </c>
      <c r="L46" s="56">
        <f>SUMPRODUCT((个贷明细!$M$8:$M$666666=A46)*(个贷明细!$Q$8:$Q$666666&gt;=设置!$E$23)*(个贷明细!$Q$8:$Q$666666&lt;=设置!$J$24)*(个贷明细!$N$8:$N$666666))+SUMPRODUCT((企贷明细!$M$8:$M$666666=A46)*(企贷明细!$Q$8:$Q$666666&gt;=设置!$E$23)*(企贷明细!$Q$8:$Q$666666&lt;=设置!$J$24)*(企贷明细!$N$8:$N$666666))</f>
        <v>0</v>
      </c>
      <c r="M46" s="56">
        <f>SUMPRODUCT((个贷明细!$M$8:$M$666666=A46)*(个贷明细!$Q$8:$Q$666666&lt;(设置!$J$24+1))*(个贷明细!$R$8:$R$666666&gt;设置!$J$24)*(个贷明细!$T$8:$T$666666=0)*(个贷明细!$N$8:$N$666666))+SUMPRODUCT((个贷明细!$M$8:$M$666666=A46)*(个贷明细!$Q$8:$Q$666666&lt;(设置!$J$24+1))*(个贷明细!$R$8:$R$666666&gt;设置!$J$24)*(个贷明细!$T$8:$T$666666&gt;设置!$J$24)*(个贷明细!$N$8:$N$666666))+SUMPRODUCT((企贷明细!$M$8:$M$666666=A46)*(企贷明细!$Q$8:$Q$666666&lt;(设置!$J$24+1))*(企贷明细!$R$8:$R$666666&gt;设置!$J$24)*(企贷明细!$T$8:$T$666666=0)*(企贷明细!$N$8:$N$666666))+SUMPRODUCT((企贷明细!$M$8:$M$666666=A46)*(企贷明细!$Q$8:$Q$666666&lt;(设置!$J$24+1))*(企贷明细!$R$8:$R$666666&gt;设置!$J$24)*(企贷明细!$T$8:$T$666666&gt;设置!$J$24)*(企贷明细!$N$8:$N$666666))</f>
        <v>0</v>
      </c>
      <c r="N46" s="56">
        <f t="shared" si="29"/>
        <v>0</v>
      </c>
      <c r="O46" s="56">
        <f t="shared" si="30"/>
        <v>0</v>
      </c>
      <c r="P46" s="56">
        <f>'1季统计'!F46+'2季统计'!F46+'3季统计'!F46+F46</f>
        <v>0</v>
      </c>
      <c r="Q46" s="56">
        <f>'1季统计'!G46+'2季统计'!G46+'3季统计'!G46+G46</f>
        <v>0</v>
      </c>
      <c r="R46" s="56">
        <f>'1季统计'!H46+'2季统计'!H46+'3季统计'!H46+H46</f>
        <v>0</v>
      </c>
      <c r="S46" s="56">
        <f t="shared" si="31"/>
        <v>0</v>
      </c>
      <c r="T46" s="56">
        <f>'1季统计'!J46+'2季统计'!J46+'3季统计'!J46+J46</f>
        <v>0</v>
      </c>
      <c r="U46" s="56">
        <f>'1季统计'!K46+'2季统计'!K46+'3季统计'!K46+K46</f>
        <v>0</v>
      </c>
    </row>
    <row r="47" ht="14.25" spans="1:21">
      <c r="A47" s="68" t="str">
        <f>'1季统计'!A47</f>
        <v>广发银行</v>
      </c>
      <c r="B47" s="56">
        <f>SUMPRODUCT((个贷明细!$M$8:$M$666666=A47)*(个贷明细!$Q$8:$Q$666666&gt;=设置!$J$23)*(个贷明细!$Q$8:$Q$666666&lt;=设置!$J$24)*(个贷明细!$N$8:$N$666666))+SUMPRODUCT((企贷明细!$M$8:$M$666666=A47)*(企贷明细!$Q$8:$Q$666666&gt;=设置!$J$23)*(企贷明细!$Q$8:$Q$666666&lt;=设置!$J$24)*(企贷明细!$N$8:$N$666666))</f>
        <v>0</v>
      </c>
      <c r="C47" s="56">
        <f>SUMPRODUCT((个贷明细!$M$8:$M$666666=A47)*(个贷明细!$Q$8:$Q$666666&lt;(设置!$J$24+1))*(个贷明细!$R$8:$R$666666&gt;设置!$J$24)*(个贷明细!$T$8:$T$666666=0)*(个贷明细!$N$8:$N$666666))+SUMPRODUCT((个贷明细!$M$8:$M$666666=A47)*(个贷明细!$Q$8:$Q$666666&lt;(设置!$J$24+1))*(个贷明细!$R$8:$R$666666&gt;设置!$J$24)*(个贷明细!$T$8:$T$666666&gt;设置!$J$24)*(个贷明细!$N$8:$N$666666))+SUMPRODUCT((企贷明细!$M$8:$M$666666=A47)*(企贷明细!$Q$8:$Q$666666&lt;(设置!$J$24+1))*(企贷明细!$R$8:$R$666666&gt;设置!$J$24)*(企贷明细!$T$8:$T$666666=0)*(企贷明细!$N$8:$N$666666))+SUMPRODUCT((个贷明细!$M$8:$M$666666=A47)*(企贷明细!$Q$8:$Q$666666&lt;(设置!$J$24+1))*(企贷明细!$R$8:$R$666666&gt;设置!$J$24)*(企贷明细!$T$8:$T$666666&gt;设置!$J$24)*(企贷明细!$N$8:$N$666666))</f>
        <v>0</v>
      </c>
      <c r="D47" s="56">
        <f t="shared" si="26"/>
        <v>0</v>
      </c>
      <c r="E47" s="56">
        <f t="shared" si="27"/>
        <v>0</v>
      </c>
      <c r="F47" s="56">
        <f>SUMPRODUCT((个贷明细!$M$8:$M$666666=A47)*(个贷明细!$BC$8:$BC$666666))+SUMPRODUCT((企贷明细!$M$8:$M$666666=A47)*(企贷明细!$BI$8:$BI$666666))</f>
        <v>0</v>
      </c>
      <c r="G47" s="56">
        <f>SUMPRODUCT((个贷明细!$M$8:$M$666666=A47)*(个贷明细!$BD$8:$BD$666666))+SUMPRODUCT((企贷明细!$M$8:$M$666666=A47)*(企贷明细!$BJ$8:$BJ$666666))</f>
        <v>0</v>
      </c>
      <c r="H47" s="56">
        <f>SUMPRODUCT((个贷明细!$M$8:$M$666666=A47)*(个贷明细!$BE$8:$BE$666666))+SUMPRODUCT((企贷明细!$M$8:$M$666666=A47)*(企贷明细!$BK$8:$BK$666666))</f>
        <v>0</v>
      </c>
      <c r="I47" s="56">
        <f t="shared" si="28"/>
        <v>0</v>
      </c>
      <c r="J47" s="56">
        <f>SUMPRODUCT((企贷明细!$M$8:$M$666666=A47)*(企贷明细!$BL$8:$BL$666666))</f>
        <v>0</v>
      </c>
      <c r="K47" s="56">
        <f>SUMPRODUCT((个贷明细!$M$8:$M$666666=A47)*(个贷明细!$BG$8:$BG$666666))+SUMPRODUCT((企贷明细!$M$8:$M$666666=A47)*(企贷明细!$BM$8:$BM$666666))+SUMPRODUCT((企贷明细!$M$8:$M$666666=A47)*(企贷明细!$BO$8:$BO$666666))</f>
        <v>0</v>
      </c>
      <c r="L47" s="56">
        <f>SUMPRODUCT((个贷明细!$M$8:$M$666666=A47)*(个贷明细!$Q$8:$Q$666666&gt;=设置!$E$23)*(个贷明细!$Q$8:$Q$666666&lt;=设置!$J$24)*(个贷明细!$N$8:$N$666666))+SUMPRODUCT((企贷明细!$M$8:$M$666666=A47)*(企贷明细!$Q$8:$Q$666666&gt;=设置!$E$23)*(企贷明细!$Q$8:$Q$666666&lt;=设置!$J$24)*(企贷明细!$N$8:$N$666666))</f>
        <v>0</v>
      </c>
      <c r="M47" s="56">
        <f>SUMPRODUCT((个贷明细!$M$8:$M$666666=A47)*(个贷明细!$Q$8:$Q$666666&lt;(设置!$J$24+1))*(个贷明细!$R$8:$R$666666&gt;设置!$J$24)*(个贷明细!$T$8:$T$666666=0)*(个贷明细!$N$8:$N$666666))+SUMPRODUCT((个贷明细!$M$8:$M$666666=A47)*(个贷明细!$Q$8:$Q$666666&lt;(设置!$J$24+1))*(个贷明细!$R$8:$R$666666&gt;设置!$J$24)*(个贷明细!$T$8:$T$666666&gt;设置!$J$24)*(个贷明细!$N$8:$N$666666))+SUMPRODUCT((企贷明细!$M$8:$M$666666=A47)*(企贷明细!$Q$8:$Q$666666&lt;(设置!$J$24+1))*(企贷明细!$R$8:$R$666666&gt;设置!$J$24)*(企贷明细!$T$8:$T$666666=0)*(企贷明细!$N$8:$N$666666))+SUMPRODUCT((企贷明细!$M$8:$M$666666=A47)*(企贷明细!$Q$8:$Q$666666&lt;(设置!$J$24+1))*(企贷明细!$R$8:$R$666666&gt;设置!$J$24)*(企贷明细!$T$8:$T$666666&gt;设置!$J$24)*(企贷明细!$N$8:$N$666666))</f>
        <v>0</v>
      </c>
      <c r="N47" s="56">
        <f t="shared" si="29"/>
        <v>0</v>
      </c>
      <c r="O47" s="56">
        <f t="shared" si="30"/>
        <v>0</v>
      </c>
      <c r="P47" s="56">
        <f>'1季统计'!F47+'2季统计'!F47+'3季统计'!F47+F47</f>
        <v>0</v>
      </c>
      <c r="Q47" s="56">
        <f>'1季统计'!G47+'2季统计'!G47+'3季统计'!G47+G47</f>
        <v>0</v>
      </c>
      <c r="R47" s="56">
        <f>'1季统计'!H47+'2季统计'!H47+'3季统计'!H47+H47</f>
        <v>0</v>
      </c>
      <c r="S47" s="56">
        <f t="shared" si="31"/>
        <v>0</v>
      </c>
      <c r="T47" s="56">
        <f>'1季统计'!J47+'2季统计'!J47+'3季统计'!J47+J47</f>
        <v>0</v>
      </c>
      <c r="U47" s="56">
        <f>'1季统计'!K47+'2季统计'!K47+'3季统计'!K47+K47</f>
        <v>0</v>
      </c>
    </row>
    <row r="48" ht="14.25" spans="1:21">
      <c r="A48" s="68" t="str">
        <f>'1季统计'!A48</f>
        <v>兴业银行</v>
      </c>
      <c r="B48" s="56">
        <f>SUMPRODUCT((个贷明细!$M$8:$M$666666=A48)*(个贷明细!$Q$8:$Q$666666&gt;=设置!$J$23)*(个贷明细!$Q$8:$Q$666666&lt;=设置!$J$24)*(个贷明细!$N$8:$N$666666))+SUMPRODUCT((企贷明细!$M$8:$M$666666=A48)*(企贷明细!$Q$8:$Q$666666&gt;=设置!$J$23)*(企贷明细!$Q$8:$Q$666666&lt;=设置!$J$24)*(企贷明细!$N$8:$N$666666))</f>
        <v>0</v>
      </c>
      <c r="C48" s="56">
        <f>SUMPRODUCT((个贷明细!$M$8:$M$666666=A48)*(个贷明细!$Q$8:$Q$666666&lt;(设置!$J$24+1))*(个贷明细!$R$8:$R$666666&gt;设置!$J$24)*(个贷明细!$T$8:$T$666666=0)*(个贷明细!$N$8:$N$666666))+SUMPRODUCT((个贷明细!$M$8:$M$666666=A48)*(个贷明细!$Q$8:$Q$666666&lt;(设置!$J$24+1))*(个贷明细!$R$8:$R$666666&gt;设置!$J$24)*(个贷明细!$T$8:$T$666666&gt;设置!$J$24)*(个贷明细!$N$8:$N$666666))+SUMPRODUCT((企贷明细!$M$8:$M$666666=A48)*(企贷明细!$Q$8:$Q$666666&lt;(设置!$J$24+1))*(企贷明细!$R$8:$R$666666&gt;设置!$J$24)*(企贷明细!$T$8:$T$666666=0)*(企贷明细!$N$8:$N$666666))+SUMPRODUCT((个贷明细!$M$8:$M$666666=A48)*(企贷明细!$Q$8:$Q$666666&lt;(设置!$J$24+1))*(企贷明细!$R$8:$R$666666&gt;设置!$J$24)*(企贷明细!$T$8:$T$666666&gt;设置!$J$24)*(企贷明细!$N$8:$N$666666))</f>
        <v>0</v>
      </c>
      <c r="D48" s="56">
        <f t="shared" si="26"/>
        <v>0</v>
      </c>
      <c r="E48" s="56">
        <f t="shared" si="27"/>
        <v>0</v>
      </c>
      <c r="F48" s="56">
        <f>SUMPRODUCT((个贷明细!$M$8:$M$666666=A48)*(个贷明细!$BC$8:$BC$666666))+SUMPRODUCT((企贷明细!$M$8:$M$666666=A48)*(企贷明细!$BI$8:$BI$666666))</f>
        <v>0</v>
      </c>
      <c r="G48" s="56">
        <f>SUMPRODUCT((个贷明细!$M$8:$M$666666=A48)*(个贷明细!$BD$8:$BD$666666))+SUMPRODUCT((企贷明细!$M$8:$M$666666=A48)*(企贷明细!$BJ$8:$BJ$666666))</f>
        <v>0</v>
      </c>
      <c r="H48" s="56">
        <f>SUMPRODUCT((个贷明细!$M$8:$M$666666=A48)*(个贷明细!$BE$8:$BE$666666))+SUMPRODUCT((企贷明细!$M$8:$M$666666=A48)*(企贷明细!$BK$8:$BK$666666))</f>
        <v>0</v>
      </c>
      <c r="I48" s="56">
        <f t="shared" si="28"/>
        <v>0</v>
      </c>
      <c r="J48" s="56">
        <f>SUMPRODUCT((企贷明细!$M$8:$M$666666=A48)*(企贷明细!$BL$8:$BL$666666))</f>
        <v>0</v>
      </c>
      <c r="K48" s="56">
        <f>SUMPRODUCT((个贷明细!$M$8:$M$666666=A48)*(个贷明细!$BG$8:$BG$666666))+SUMPRODUCT((企贷明细!$M$8:$M$666666=A48)*(企贷明细!$BM$8:$BM$666666))+SUMPRODUCT((企贷明细!$M$8:$M$666666=A48)*(企贷明细!$BO$8:$BO$666666))</f>
        <v>0</v>
      </c>
      <c r="L48" s="56">
        <f>SUMPRODUCT((个贷明细!$M$8:$M$666666=A48)*(个贷明细!$Q$8:$Q$666666&gt;=设置!$E$23)*(个贷明细!$Q$8:$Q$666666&lt;=设置!$J$24)*(个贷明细!$N$8:$N$666666))+SUMPRODUCT((企贷明细!$M$8:$M$666666=A48)*(企贷明细!$Q$8:$Q$666666&gt;=设置!$E$23)*(企贷明细!$Q$8:$Q$666666&lt;=设置!$J$24)*(企贷明细!$N$8:$N$666666))</f>
        <v>0</v>
      </c>
      <c r="M48" s="56">
        <f>SUMPRODUCT((个贷明细!$M$8:$M$666666=A48)*(个贷明细!$Q$8:$Q$666666&lt;(设置!$J$24+1))*(个贷明细!$R$8:$R$666666&gt;设置!$J$24)*(个贷明细!$T$8:$T$666666=0)*(个贷明细!$N$8:$N$666666))+SUMPRODUCT((个贷明细!$M$8:$M$666666=A48)*(个贷明细!$Q$8:$Q$666666&lt;(设置!$J$24+1))*(个贷明细!$R$8:$R$666666&gt;设置!$J$24)*(个贷明细!$T$8:$T$666666&gt;设置!$J$24)*(个贷明细!$N$8:$N$666666))+SUMPRODUCT((企贷明细!$M$8:$M$666666=A48)*(企贷明细!$Q$8:$Q$666666&lt;(设置!$J$24+1))*(企贷明细!$R$8:$R$666666&gt;设置!$J$24)*(企贷明细!$T$8:$T$666666=0)*(企贷明细!$N$8:$N$666666))+SUMPRODUCT((企贷明细!$M$8:$M$666666=A48)*(企贷明细!$Q$8:$Q$666666&lt;(设置!$J$24+1))*(企贷明细!$R$8:$R$666666&gt;设置!$J$24)*(企贷明细!$T$8:$T$666666&gt;设置!$J$24)*(企贷明细!$N$8:$N$666666))</f>
        <v>0</v>
      </c>
      <c r="N48" s="56">
        <f t="shared" si="29"/>
        <v>0</v>
      </c>
      <c r="O48" s="56">
        <f t="shared" si="30"/>
        <v>0</v>
      </c>
      <c r="P48" s="56">
        <f>'1季统计'!F48+'2季统计'!F48+'3季统计'!F48+F48</f>
        <v>0</v>
      </c>
      <c r="Q48" s="56">
        <f>'1季统计'!G48+'2季统计'!G48+'3季统计'!G48+G48</f>
        <v>0</v>
      </c>
      <c r="R48" s="56">
        <f>'1季统计'!H48+'2季统计'!H48+'3季统计'!H48+H48</f>
        <v>0</v>
      </c>
      <c r="S48" s="56">
        <f t="shared" si="31"/>
        <v>0</v>
      </c>
      <c r="T48" s="56">
        <f>'1季统计'!J48+'2季统计'!J48+'3季统计'!J48+J48</f>
        <v>0</v>
      </c>
      <c r="U48" s="56">
        <f>'1季统计'!K48+'2季统计'!K48+'3季统计'!K48+K48</f>
        <v>0</v>
      </c>
    </row>
    <row r="49" ht="14.25" spans="1:21">
      <c r="A49" s="68" t="str">
        <f>'1季统计'!A49</f>
        <v>平安银行</v>
      </c>
      <c r="B49" s="56">
        <f>SUMPRODUCT((个贷明细!$M$8:$M$666666=A49)*(个贷明细!$Q$8:$Q$666666&gt;=设置!$J$23)*(个贷明细!$Q$8:$Q$666666&lt;=设置!$J$24)*(个贷明细!$N$8:$N$666666))+SUMPRODUCT((企贷明细!$M$8:$M$666666=A49)*(企贷明细!$Q$8:$Q$666666&gt;=设置!$J$23)*(企贷明细!$Q$8:$Q$666666&lt;=设置!$J$24)*(企贷明细!$N$8:$N$666666))</f>
        <v>0</v>
      </c>
      <c r="C49" s="56">
        <f>SUMPRODUCT((个贷明细!$M$8:$M$666666=A49)*(个贷明细!$Q$8:$Q$666666&lt;(设置!$J$24+1))*(个贷明细!$R$8:$R$666666&gt;设置!$J$24)*(个贷明细!$T$8:$T$666666=0)*(个贷明细!$N$8:$N$666666))+SUMPRODUCT((个贷明细!$M$8:$M$666666=A49)*(个贷明细!$Q$8:$Q$666666&lt;(设置!$J$24+1))*(个贷明细!$R$8:$R$666666&gt;设置!$J$24)*(个贷明细!$T$8:$T$666666&gt;设置!$J$24)*(个贷明细!$N$8:$N$666666))+SUMPRODUCT((企贷明细!$M$8:$M$666666=A49)*(企贷明细!$Q$8:$Q$666666&lt;(设置!$J$24+1))*(企贷明细!$R$8:$R$666666&gt;设置!$J$24)*(企贷明细!$T$8:$T$666666=0)*(企贷明细!$N$8:$N$666666))+SUMPRODUCT((个贷明细!$M$8:$M$666666=A49)*(企贷明细!$Q$8:$Q$666666&lt;(设置!$J$24+1))*(企贷明细!$R$8:$R$666666&gt;设置!$J$24)*(企贷明细!$T$8:$T$666666&gt;设置!$J$24)*(企贷明细!$N$8:$N$666666))</f>
        <v>0</v>
      </c>
      <c r="D49" s="56">
        <f t="shared" si="26"/>
        <v>0</v>
      </c>
      <c r="E49" s="56">
        <f t="shared" si="27"/>
        <v>0</v>
      </c>
      <c r="F49" s="56">
        <f>SUMPRODUCT((个贷明细!$M$8:$M$666666=A49)*(个贷明细!$BC$8:$BC$666666))+SUMPRODUCT((企贷明细!$M$8:$M$666666=A49)*(企贷明细!$BI$8:$BI$666666))</f>
        <v>0</v>
      </c>
      <c r="G49" s="56">
        <f>SUMPRODUCT((个贷明细!$M$8:$M$666666=A49)*(个贷明细!$BD$8:$BD$666666))+SUMPRODUCT((企贷明细!$M$8:$M$666666=A49)*(企贷明细!$BJ$8:$BJ$666666))</f>
        <v>0</v>
      </c>
      <c r="H49" s="56">
        <f>SUMPRODUCT((个贷明细!$M$8:$M$666666=A49)*(个贷明细!$BE$8:$BE$666666))+SUMPRODUCT((企贷明细!$M$8:$M$666666=A49)*(企贷明细!$BK$8:$BK$666666))</f>
        <v>0</v>
      </c>
      <c r="I49" s="56">
        <f t="shared" si="28"/>
        <v>0</v>
      </c>
      <c r="J49" s="56">
        <f>SUMPRODUCT((企贷明细!$M$8:$M$666666=A49)*(企贷明细!$BL$8:$BL$666666))</f>
        <v>0</v>
      </c>
      <c r="K49" s="56">
        <f>SUMPRODUCT((个贷明细!$M$8:$M$666666=A49)*(个贷明细!$BG$8:$BG$666666))+SUMPRODUCT((企贷明细!$M$8:$M$666666=A49)*(企贷明细!$BM$8:$BM$666666))+SUMPRODUCT((企贷明细!$M$8:$M$666666=A49)*(企贷明细!$BO$8:$BO$666666))</f>
        <v>0</v>
      </c>
      <c r="L49" s="56">
        <f>SUMPRODUCT((个贷明细!$M$8:$M$666666=A49)*(个贷明细!$Q$8:$Q$666666&gt;=设置!$E$23)*(个贷明细!$Q$8:$Q$666666&lt;=设置!$J$24)*(个贷明细!$N$8:$N$666666))+SUMPRODUCT((企贷明细!$M$8:$M$666666=A49)*(企贷明细!$Q$8:$Q$666666&gt;=设置!$E$23)*(企贷明细!$Q$8:$Q$666666&lt;=设置!$J$24)*(企贷明细!$N$8:$N$666666))</f>
        <v>0</v>
      </c>
      <c r="M49" s="56">
        <f>SUMPRODUCT((个贷明细!$M$8:$M$666666=A49)*(个贷明细!$Q$8:$Q$666666&lt;(设置!$J$24+1))*(个贷明细!$R$8:$R$666666&gt;设置!$J$24)*(个贷明细!$T$8:$T$666666=0)*(个贷明细!$N$8:$N$666666))+SUMPRODUCT((个贷明细!$M$8:$M$666666=A49)*(个贷明细!$Q$8:$Q$666666&lt;(设置!$J$24+1))*(个贷明细!$R$8:$R$666666&gt;设置!$J$24)*(个贷明细!$T$8:$T$666666&gt;设置!$J$24)*(个贷明细!$N$8:$N$666666))+SUMPRODUCT((企贷明细!$M$8:$M$666666=A49)*(企贷明细!$Q$8:$Q$666666&lt;(设置!$J$24+1))*(企贷明细!$R$8:$R$666666&gt;设置!$J$24)*(企贷明细!$T$8:$T$666666=0)*(企贷明细!$N$8:$N$666666))+SUMPRODUCT((企贷明细!$M$8:$M$666666=A49)*(企贷明细!$Q$8:$Q$666666&lt;(设置!$J$24+1))*(企贷明细!$R$8:$R$666666&gt;设置!$J$24)*(企贷明细!$T$8:$T$666666&gt;设置!$J$24)*(企贷明细!$N$8:$N$666666))</f>
        <v>0</v>
      </c>
      <c r="N49" s="56">
        <f t="shared" si="29"/>
        <v>0</v>
      </c>
      <c r="O49" s="56">
        <f t="shared" si="30"/>
        <v>0</v>
      </c>
      <c r="P49" s="56">
        <f>'1季统计'!F49+'2季统计'!F49+'3季统计'!F49+F49</f>
        <v>0</v>
      </c>
      <c r="Q49" s="56">
        <f>'1季统计'!G49+'2季统计'!G49+'3季统计'!G49+G49</f>
        <v>0</v>
      </c>
      <c r="R49" s="56">
        <f>'1季统计'!H49+'2季统计'!H49+'3季统计'!H49+H49</f>
        <v>0</v>
      </c>
      <c r="S49" s="56">
        <f t="shared" si="31"/>
        <v>0</v>
      </c>
      <c r="T49" s="56">
        <f>'1季统计'!J49+'2季统计'!J49+'3季统计'!J49+J49</f>
        <v>0</v>
      </c>
      <c r="U49" s="56">
        <f>'1季统计'!K49+'2季统计'!K49+'3季统计'!K49+K49</f>
        <v>0</v>
      </c>
    </row>
    <row r="50" ht="14.25" spans="1:21">
      <c r="A50" s="68" t="str">
        <f>'1季统计'!A50</f>
        <v>其他股份银行</v>
      </c>
      <c r="B50" s="56">
        <f>SUMPRODUCT((个贷明细!$M$8:$M$666666=A50)*(个贷明细!$Q$8:$Q$666666&gt;=设置!$J$23)*(个贷明细!$Q$8:$Q$666666&lt;=设置!$J$24)*(个贷明细!$N$8:$N$666666))+SUMPRODUCT((企贷明细!$M$8:$M$666666=A50)*(企贷明细!$Q$8:$Q$666666&gt;=设置!$J$23)*(企贷明细!$Q$8:$Q$666666&lt;=设置!$J$24)*(企贷明细!$N$8:$N$666666))</f>
        <v>0</v>
      </c>
      <c r="C50" s="56">
        <f>SUMPRODUCT((个贷明细!$M$8:$M$666666=A50)*(个贷明细!$Q$8:$Q$666666&lt;(设置!$J$24+1))*(个贷明细!$R$8:$R$666666&gt;设置!$J$24)*(个贷明细!$T$8:$T$666666=0)*(个贷明细!$N$8:$N$666666))+SUMPRODUCT((个贷明细!$M$8:$M$666666=A50)*(个贷明细!$Q$8:$Q$666666&lt;(设置!$J$24+1))*(个贷明细!$R$8:$R$666666&gt;设置!$J$24)*(个贷明细!$T$8:$T$666666&gt;设置!$J$24)*(个贷明细!$N$8:$N$666666))+SUMPRODUCT((企贷明细!$M$8:$M$666666=A50)*(企贷明细!$Q$8:$Q$666666&lt;(设置!$J$24+1))*(企贷明细!$R$8:$R$666666&gt;设置!$J$24)*(企贷明细!$T$8:$T$666666=0)*(企贷明细!$N$8:$N$666666))+SUMPRODUCT((个贷明细!$M$8:$M$666666=A50)*(企贷明细!$Q$8:$Q$666666&lt;(设置!$J$24+1))*(企贷明细!$R$8:$R$666666&gt;设置!$J$24)*(企贷明细!$T$8:$T$666666&gt;设置!$J$24)*(企贷明细!$N$8:$N$666666))</f>
        <v>0</v>
      </c>
      <c r="D50" s="56">
        <f t="shared" si="26"/>
        <v>0</v>
      </c>
      <c r="E50" s="56">
        <f t="shared" si="27"/>
        <v>0</v>
      </c>
      <c r="F50" s="56">
        <f>SUMPRODUCT((个贷明细!$M$8:$M$666666=A50)*(个贷明细!$BC$8:$BC$666666))+SUMPRODUCT((企贷明细!$M$8:$M$666666=A50)*(企贷明细!$BI$8:$BI$666666))</f>
        <v>0</v>
      </c>
      <c r="G50" s="56">
        <f>SUMPRODUCT((个贷明细!$M$8:$M$666666=A50)*(个贷明细!$BD$8:$BD$666666))+SUMPRODUCT((企贷明细!$M$8:$M$666666=A50)*(企贷明细!$BJ$8:$BJ$666666))</f>
        <v>0</v>
      </c>
      <c r="H50" s="56">
        <f>SUMPRODUCT((个贷明细!$M$8:$M$666666=A50)*(个贷明细!$BE$8:$BE$666666))+SUMPRODUCT((企贷明细!$M$8:$M$666666=A50)*(企贷明细!$BK$8:$BK$666666))</f>
        <v>0</v>
      </c>
      <c r="I50" s="56">
        <f t="shared" si="28"/>
        <v>0</v>
      </c>
      <c r="J50" s="56">
        <f>SUMPRODUCT((企贷明细!$M$8:$M$666666=A50)*(企贷明细!$BL$8:$BL$666666))</f>
        <v>0</v>
      </c>
      <c r="K50" s="56">
        <f>SUMPRODUCT((个贷明细!$M$8:$M$666666=A50)*(个贷明细!$BG$8:$BG$666666))+SUMPRODUCT((企贷明细!$M$8:$M$666666=A50)*(企贷明细!$BM$8:$BM$666666))+SUMPRODUCT((企贷明细!$M$8:$M$666666=A50)*(企贷明细!$BO$8:$BO$666666))</f>
        <v>0</v>
      </c>
      <c r="L50" s="56">
        <f>SUMPRODUCT((个贷明细!$M$8:$M$666666=A50)*(个贷明细!$Q$8:$Q$666666&gt;=设置!$E$23)*(个贷明细!$Q$8:$Q$666666&lt;=设置!$J$24)*(个贷明细!$N$8:$N$666666))+SUMPRODUCT((企贷明细!$M$8:$M$666666=A50)*(企贷明细!$Q$8:$Q$666666&gt;=设置!$E$23)*(企贷明细!$Q$8:$Q$666666&lt;=设置!$J$24)*(企贷明细!$N$8:$N$666666))</f>
        <v>0</v>
      </c>
      <c r="M50" s="56">
        <f>SUMPRODUCT((个贷明细!$M$8:$M$666666=A50)*(个贷明细!$Q$8:$Q$666666&lt;(设置!$J$24+1))*(个贷明细!$R$8:$R$666666&gt;设置!$J$24)*(个贷明细!$T$8:$T$666666=0)*(个贷明细!$N$8:$N$666666))+SUMPRODUCT((个贷明细!$M$8:$M$666666=A50)*(个贷明细!$Q$8:$Q$666666&lt;(设置!$J$24+1))*(个贷明细!$R$8:$R$666666&gt;设置!$J$24)*(个贷明细!$T$8:$T$666666&gt;设置!$J$24)*(个贷明细!$N$8:$N$666666))+SUMPRODUCT((企贷明细!$M$8:$M$666666=A50)*(企贷明细!$Q$8:$Q$666666&lt;(设置!$J$24+1))*(企贷明细!$R$8:$R$666666&gt;设置!$J$24)*(企贷明细!$T$8:$T$666666=0)*(企贷明细!$N$8:$N$666666))+SUMPRODUCT((企贷明细!$M$8:$M$666666=A50)*(企贷明细!$Q$8:$Q$666666&lt;(设置!$J$24+1))*(企贷明细!$R$8:$R$666666&gt;设置!$J$24)*(企贷明细!$T$8:$T$666666&gt;设置!$J$24)*(企贷明细!$N$8:$N$666666))</f>
        <v>0</v>
      </c>
      <c r="N50" s="56">
        <f t="shared" si="29"/>
        <v>0</v>
      </c>
      <c r="O50" s="56">
        <f t="shared" si="30"/>
        <v>0</v>
      </c>
      <c r="P50" s="56">
        <f>'1季统计'!F50+'2季统计'!F50+'3季统计'!F50+F50</f>
        <v>0</v>
      </c>
      <c r="Q50" s="56">
        <f>'1季统计'!G50+'2季统计'!G50+'3季统计'!G50+G50</f>
        <v>0</v>
      </c>
      <c r="R50" s="56">
        <f>'1季统计'!H50+'2季统计'!H50+'3季统计'!H50+H50</f>
        <v>0</v>
      </c>
      <c r="S50" s="56">
        <f t="shared" si="31"/>
        <v>0</v>
      </c>
      <c r="T50" s="56">
        <f>'1季统计'!J50+'2季统计'!J50+'3季统计'!J50+J50</f>
        <v>0</v>
      </c>
      <c r="U50" s="56">
        <f>'1季统计'!K50+'2季统计'!K50+'3季统计'!K50+K50</f>
        <v>0</v>
      </c>
    </row>
    <row r="51" ht="14.25" spans="1:21">
      <c r="A51" s="68" t="str">
        <f>'1季统计'!A51</f>
        <v>其他股份银行2</v>
      </c>
      <c r="B51" s="56">
        <f>SUMPRODUCT((个贷明细!$M$8:$M$666666=A51)*(个贷明细!$Q$8:$Q$666666&gt;=设置!$J$23)*(个贷明细!$Q$8:$Q$666666&lt;=设置!$J$24)*(个贷明细!$N$8:$N$666666))+SUMPRODUCT((企贷明细!$M$8:$M$666666=A51)*(企贷明细!$Q$8:$Q$666666&gt;=设置!$J$23)*(企贷明细!$Q$8:$Q$666666&lt;=设置!$J$24)*(企贷明细!$N$8:$N$666666))</f>
        <v>0</v>
      </c>
      <c r="C51" s="56">
        <f>SUMPRODUCT((个贷明细!$M$8:$M$666666=A51)*(个贷明细!$Q$8:$Q$666666&lt;(设置!$J$24+1))*(个贷明细!$R$8:$R$666666&gt;设置!$J$24)*(个贷明细!$T$8:$T$666666=0)*(个贷明细!$N$8:$N$666666))+SUMPRODUCT((个贷明细!$M$8:$M$666666=A51)*(个贷明细!$Q$8:$Q$666666&lt;(设置!$J$24+1))*(个贷明细!$R$8:$R$666666&gt;设置!$J$24)*(个贷明细!$T$8:$T$666666&gt;设置!$J$24)*(个贷明细!$N$8:$N$666666))+SUMPRODUCT((企贷明细!$M$8:$M$666666=A51)*(企贷明细!$Q$8:$Q$666666&lt;(设置!$J$24+1))*(企贷明细!$R$8:$R$666666&gt;设置!$J$24)*(企贷明细!$T$8:$T$666666=0)*(企贷明细!$N$8:$N$666666))+SUMPRODUCT((个贷明细!$M$8:$M$666666=A51)*(企贷明细!$Q$8:$Q$666666&lt;(设置!$J$24+1))*(企贷明细!$R$8:$R$666666&gt;设置!$J$24)*(企贷明细!$T$8:$T$666666&gt;设置!$J$24)*(企贷明细!$N$8:$N$666666))</f>
        <v>0</v>
      </c>
      <c r="D51" s="56">
        <f t="shared" si="26"/>
        <v>0</v>
      </c>
      <c r="E51" s="56">
        <f t="shared" si="27"/>
        <v>0</v>
      </c>
      <c r="F51" s="56">
        <f>SUMPRODUCT((个贷明细!$M$8:$M$666666=A51)*(个贷明细!$BC$8:$BC$666666))+SUMPRODUCT((企贷明细!$M$8:$M$666666=A51)*(企贷明细!$BI$8:$BI$666666))</f>
        <v>0</v>
      </c>
      <c r="G51" s="56">
        <f>SUMPRODUCT((个贷明细!$M$8:$M$666666=A51)*(个贷明细!$BD$8:$BD$666666))+SUMPRODUCT((企贷明细!$M$8:$M$666666=A51)*(企贷明细!$BJ$8:$BJ$666666))</f>
        <v>0</v>
      </c>
      <c r="H51" s="56">
        <f>SUMPRODUCT((个贷明细!$M$8:$M$666666=A51)*(个贷明细!$BE$8:$BE$666666))+SUMPRODUCT((企贷明细!$M$8:$M$666666=A51)*(企贷明细!$BK$8:$BK$666666))</f>
        <v>0</v>
      </c>
      <c r="I51" s="56">
        <f t="shared" si="28"/>
        <v>0</v>
      </c>
      <c r="J51" s="56">
        <f>SUMPRODUCT((企贷明细!$M$8:$M$666666=A51)*(企贷明细!$BL$8:$BL$666666))</f>
        <v>0</v>
      </c>
      <c r="K51" s="56">
        <f>SUMPRODUCT((个贷明细!$M$8:$M$666666=A51)*(个贷明细!$BG$8:$BG$666666))+SUMPRODUCT((企贷明细!$M$8:$M$666666=A51)*(企贷明细!$BM$8:$BM$666666))+SUMPRODUCT((企贷明细!$M$8:$M$666666=A51)*(企贷明细!$BO$8:$BO$666666))</f>
        <v>0</v>
      </c>
      <c r="L51" s="56">
        <f>SUMPRODUCT((个贷明细!$M$8:$M$666666=A51)*(个贷明细!$Q$8:$Q$666666&gt;=设置!$E$23)*(个贷明细!$Q$8:$Q$666666&lt;=设置!$J$24)*(个贷明细!$N$8:$N$666666))+SUMPRODUCT((企贷明细!$M$8:$M$666666=A51)*(企贷明细!$Q$8:$Q$666666&gt;=设置!$E$23)*(企贷明细!$Q$8:$Q$666666&lt;=设置!$J$24)*(企贷明细!$N$8:$N$666666))</f>
        <v>0</v>
      </c>
      <c r="M51" s="56">
        <f>SUMPRODUCT((个贷明细!$M$8:$M$666666=A51)*(个贷明细!$Q$8:$Q$666666&lt;(设置!$J$24+1))*(个贷明细!$R$8:$R$666666&gt;设置!$J$24)*(个贷明细!$T$8:$T$666666=0)*(个贷明细!$N$8:$N$666666))+SUMPRODUCT((个贷明细!$M$8:$M$666666=A51)*(个贷明细!$Q$8:$Q$666666&lt;(设置!$J$24+1))*(个贷明细!$R$8:$R$666666&gt;设置!$J$24)*(个贷明细!$T$8:$T$666666&gt;设置!$J$24)*(个贷明细!$N$8:$N$666666))+SUMPRODUCT((企贷明细!$M$8:$M$666666=A51)*(企贷明细!$Q$8:$Q$666666&lt;(设置!$J$24+1))*(企贷明细!$R$8:$R$666666&gt;设置!$J$24)*(企贷明细!$T$8:$T$666666=0)*(企贷明细!$N$8:$N$666666))+SUMPRODUCT((企贷明细!$M$8:$M$666666=A51)*(企贷明细!$Q$8:$Q$666666&lt;(设置!$J$24+1))*(企贷明细!$R$8:$R$666666&gt;设置!$J$24)*(企贷明细!$T$8:$T$666666&gt;设置!$J$24)*(企贷明细!$N$8:$N$666666))</f>
        <v>0</v>
      </c>
      <c r="N51" s="56">
        <f t="shared" si="29"/>
        <v>0</v>
      </c>
      <c r="O51" s="56">
        <f t="shared" si="30"/>
        <v>0</v>
      </c>
      <c r="P51" s="56">
        <f>'1季统计'!F51+'2季统计'!F51+'3季统计'!F51+F51</f>
        <v>0</v>
      </c>
      <c r="Q51" s="56">
        <f>'1季统计'!G51+'2季统计'!G51+'3季统计'!G51+G51</f>
        <v>0</v>
      </c>
      <c r="R51" s="56">
        <f>'1季统计'!H51+'2季统计'!H51+'3季统计'!H51+H51</f>
        <v>0</v>
      </c>
      <c r="S51" s="56">
        <f t="shared" si="31"/>
        <v>0</v>
      </c>
      <c r="T51" s="56">
        <f>'1季统计'!J51+'2季统计'!J51+'3季统计'!J51+J51</f>
        <v>0</v>
      </c>
      <c r="U51" s="56">
        <f>'1季统计'!K51+'2季统计'!K51+'3季统计'!K51+K51</f>
        <v>0</v>
      </c>
    </row>
    <row r="52" ht="14.25" spans="1:21">
      <c r="A52" s="68" t="str">
        <f>'1季统计'!A52</f>
        <v>其他股份银行3</v>
      </c>
      <c r="B52" s="56">
        <f>SUMPRODUCT((个贷明细!$M$8:$M$666666=A52)*(个贷明细!$Q$8:$Q$666666&gt;=设置!$J$23)*(个贷明细!$Q$8:$Q$666666&lt;=设置!$J$24)*(个贷明细!$N$8:$N$666666))+SUMPRODUCT((企贷明细!$M$8:$M$666666=A52)*(企贷明细!$Q$8:$Q$666666&gt;=设置!$J$23)*(企贷明细!$Q$8:$Q$666666&lt;=设置!$J$24)*(企贷明细!$N$8:$N$666666))</f>
        <v>0</v>
      </c>
      <c r="C52" s="56">
        <f>SUMPRODUCT((个贷明细!$M$8:$M$666666=A52)*(个贷明细!$Q$8:$Q$666666&lt;(设置!$J$24+1))*(个贷明细!$R$8:$R$666666&gt;设置!$J$24)*(个贷明细!$T$8:$T$666666=0)*(个贷明细!$N$8:$N$666666))+SUMPRODUCT((个贷明细!$M$8:$M$666666=A52)*(个贷明细!$Q$8:$Q$666666&lt;(设置!$J$24+1))*(个贷明细!$R$8:$R$666666&gt;设置!$J$24)*(个贷明细!$T$8:$T$666666&gt;设置!$J$24)*(个贷明细!$N$8:$N$666666))+SUMPRODUCT((企贷明细!$M$8:$M$666666=A52)*(企贷明细!$Q$8:$Q$666666&lt;(设置!$J$24+1))*(企贷明细!$R$8:$R$666666&gt;设置!$J$24)*(企贷明细!$T$8:$T$666666=0)*(企贷明细!$N$8:$N$666666))+SUMPRODUCT((个贷明细!$M$8:$M$666666=A52)*(企贷明细!$Q$8:$Q$666666&lt;(设置!$J$24+1))*(企贷明细!$R$8:$R$666666&gt;设置!$J$24)*(企贷明细!$T$8:$T$666666&gt;设置!$J$24)*(企贷明细!$N$8:$N$666666))</f>
        <v>0</v>
      </c>
      <c r="D52" s="56">
        <f t="shared" si="26"/>
        <v>0</v>
      </c>
      <c r="E52" s="56">
        <f t="shared" si="27"/>
        <v>0</v>
      </c>
      <c r="F52" s="56">
        <f>SUMPRODUCT((个贷明细!$M$8:$M$666666=A52)*(个贷明细!$BC$8:$BC$666666))+SUMPRODUCT((企贷明细!$M$8:$M$666666=A52)*(企贷明细!$BI$8:$BI$666666))</f>
        <v>0</v>
      </c>
      <c r="G52" s="56">
        <f>SUMPRODUCT((个贷明细!$M$8:$M$666666=A52)*(个贷明细!$BD$8:$BD$666666))+SUMPRODUCT((企贷明细!$M$8:$M$666666=A52)*(企贷明细!$BJ$8:$BJ$666666))</f>
        <v>0</v>
      </c>
      <c r="H52" s="56">
        <f>SUMPRODUCT((个贷明细!$M$8:$M$666666=A52)*(个贷明细!$BE$8:$BE$666666))+SUMPRODUCT((企贷明细!$M$8:$M$666666=A52)*(企贷明细!$BK$8:$BK$666666))</f>
        <v>0</v>
      </c>
      <c r="I52" s="56">
        <f t="shared" si="28"/>
        <v>0</v>
      </c>
      <c r="J52" s="56">
        <f>SUMPRODUCT((企贷明细!$M$8:$M$666666=A52)*(企贷明细!$BL$8:$BL$666666))</f>
        <v>0</v>
      </c>
      <c r="K52" s="56">
        <f>SUMPRODUCT((个贷明细!$M$8:$M$666666=A52)*(个贷明细!$BG$8:$BG$666666))+SUMPRODUCT((企贷明细!$M$8:$M$666666=A52)*(企贷明细!$BM$8:$BM$666666))+SUMPRODUCT((企贷明细!$M$8:$M$666666=A52)*(企贷明细!$BO$8:$BO$666666))</f>
        <v>0</v>
      </c>
      <c r="L52" s="56">
        <f>SUMPRODUCT((个贷明细!$M$8:$M$666666=A52)*(个贷明细!$Q$8:$Q$666666&gt;=设置!$E$23)*(个贷明细!$Q$8:$Q$666666&lt;=设置!$J$24)*(个贷明细!$N$8:$N$666666))+SUMPRODUCT((企贷明细!$M$8:$M$666666=A52)*(企贷明细!$Q$8:$Q$666666&gt;=设置!$E$23)*(企贷明细!$Q$8:$Q$666666&lt;=设置!$J$24)*(企贷明细!$N$8:$N$666666))</f>
        <v>0</v>
      </c>
      <c r="M52" s="56">
        <f>SUMPRODUCT((个贷明细!$M$8:$M$666666=A52)*(个贷明细!$Q$8:$Q$666666&lt;(设置!$J$24+1))*(个贷明细!$R$8:$R$666666&gt;设置!$J$24)*(个贷明细!$T$8:$T$666666=0)*(个贷明细!$N$8:$N$666666))+SUMPRODUCT((个贷明细!$M$8:$M$666666=A52)*(个贷明细!$Q$8:$Q$666666&lt;(设置!$J$24+1))*(个贷明细!$R$8:$R$666666&gt;设置!$J$24)*(个贷明细!$T$8:$T$666666&gt;设置!$J$24)*(个贷明细!$N$8:$N$666666))+SUMPRODUCT((企贷明细!$M$8:$M$666666=A52)*(企贷明细!$Q$8:$Q$666666&lt;(设置!$J$24+1))*(企贷明细!$R$8:$R$666666&gt;设置!$J$24)*(企贷明细!$T$8:$T$666666=0)*(企贷明细!$N$8:$N$666666))+SUMPRODUCT((企贷明细!$M$8:$M$666666=A52)*(企贷明细!$Q$8:$Q$666666&lt;(设置!$J$24+1))*(企贷明细!$R$8:$R$666666&gt;设置!$J$24)*(企贷明细!$T$8:$T$666666&gt;设置!$J$24)*(企贷明细!$N$8:$N$666666))</f>
        <v>0</v>
      </c>
      <c r="N52" s="56">
        <f t="shared" si="29"/>
        <v>0</v>
      </c>
      <c r="O52" s="56">
        <f t="shared" si="30"/>
        <v>0</v>
      </c>
      <c r="P52" s="56">
        <f>'1季统计'!F52+'2季统计'!F52+'3季统计'!F52+F52</f>
        <v>0</v>
      </c>
      <c r="Q52" s="56">
        <f>'1季统计'!G52+'2季统计'!G52+'3季统计'!G52+G52</f>
        <v>0</v>
      </c>
      <c r="R52" s="56">
        <f>'1季统计'!H52+'2季统计'!H52+'3季统计'!H52+H52</f>
        <v>0</v>
      </c>
      <c r="S52" s="56">
        <f t="shared" si="31"/>
        <v>0</v>
      </c>
      <c r="T52" s="56">
        <f>'1季统计'!J52+'2季统计'!J52+'3季统计'!J52+J52</f>
        <v>0</v>
      </c>
      <c r="U52" s="56">
        <f>'1季统计'!K52+'2季统计'!K52+'3季统计'!K52+K52</f>
        <v>0</v>
      </c>
    </row>
    <row r="53" ht="14.25" spans="1:21">
      <c r="A53" s="68" t="str">
        <f>'1季统计'!A53</f>
        <v>湖北银行</v>
      </c>
      <c r="B53" s="56">
        <f>SUMPRODUCT((个贷明细!$M$8:$M$666666=A53)*(个贷明细!$Q$8:$Q$666666&gt;=设置!$J$23)*(个贷明细!$Q$8:$Q$666666&lt;=设置!$J$24)*(个贷明细!$N$8:$N$666666))+SUMPRODUCT((企贷明细!$M$8:$M$666666=A53)*(企贷明细!$Q$8:$Q$666666&gt;=设置!$J$23)*(企贷明细!$Q$8:$Q$666666&lt;=设置!$J$24)*(企贷明细!$N$8:$N$666666))</f>
        <v>0</v>
      </c>
      <c r="C53" s="56">
        <f>SUMPRODUCT((个贷明细!$M$8:$M$666666=A53)*(个贷明细!$Q$8:$Q$666666&lt;(设置!$J$24+1))*(个贷明细!$R$8:$R$666666&gt;设置!$J$24)*(个贷明细!$T$8:$T$666666=0)*(个贷明细!$N$8:$N$666666))+SUMPRODUCT((个贷明细!$M$8:$M$666666=A53)*(个贷明细!$Q$8:$Q$666666&lt;(设置!$J$24+1))*(个贷明细!$R$8:$R$666666&gt;设置!$J$24)*(个贷明细!$T$8:$T$666666&gt;设置!$J$24)*(个贷明细!$N$8:$N$666666))+SUMPRODUCT((企贷明细!$M$8:$M$666666=A53)*(企贷明细!$Q$8:$Q$666666&lt;(设置!$J$24+1))*(企贷明细!$R$8:$R$666666&gt;设置!$J$24)*(企贷明细!$T$8:$T$666666=0)*(企贷明细!$N$8:$N$666666))+SUMPRODUCT((个贷明细!$M$8:$M$666666=A53)*(企贷明细!$Q$8:$Q$666666&lt;(设置!$J$24+1))*(企贷明细!$R$8:$R$666666&gt;设置!$J$24)*(企贷明细!$T$8:$T$666666&gt;设置!$J$24)*(企贷明细!$N$8:$N$666666))</f>
        <v>0</v>
      </c>
      <c r="D53" s="56">
        <f t="shared" si="26"/>
        <v>0</v>
      </c>
      <c r="E53" s="56">
        <f t="shared" si="27"/>
        <v>0</v>
      </c>
      <c r="F53" s="56">
        <f>SUMPRODUCT((个贷明细!$M$8:$M$666666=A53)*(个贷明细!$BC$8:$BC$666666))+SUMPRODUCT((企贷明细!$M$8:$M$666666=A53)*(企贷明细!$BI$8:$BI$666666))</f>
        <v>0</v>
      </c>
      <c r="G53" s="56">
        <f>SUMPRODUCT((个贷明细!$M$8:$M$666666=A53)*(个贷明细!$BD$8:$BD$666666))+SUMPRODUCT((企贷明细!$M$8:$M$666666=A53)*(企贷明细!$BJ$8:$BJ$666666))</f>
        <v>0</v>
      </c>
      <c r="H53" s="56">
        <f>SUMPRODUCT((个贷明细!$M$8:$M$666666=A53)*(个贷明细!$BE$8:$BE$666666))+SUMPRODUCT((企贷明细!$M$8:$M$666666=A53)*(企贷明细!$BK$8:$BK$666666))</f>
        <v>0</v>
      </c>
      <c r="I53" s="56">
        <f t="shared" si="28"/>
        <v>0</v>
      </c>
      <c r="J53" s="56">
        <f>SUMPRODUCT((企贷明细!$M$8:$M$666666=A53)*(企贷明细!$BL$8:$BL$666666))</f>
        <v>0</v>
      </c>
      <c r="K53" s="56">
        <f>SUMPRODUCT((个贷明细!$M$8:$M$666666=A53)*(个贷明细!$BG$8:$BG$666666))+SUMPRODUCT((企贷明细!$M$8:$M$666666=A53)*(企贷明细!$BM$8:$BM$666666))+SUMPRODUCT((企贷明细!$M$8:$M$666666=A53)*(企贷明细!$BO$8:$BO$666666))</f>
        <v>0</v>
      </c>
      <c r="L53" s="56">
        <f>SUMPRODUCT((个贷明细!$M$8:$M$666666=A53)*(个贷明细!$Q$8:$Q$666666&gt;=设置!$E$23)*(个贷明细!$Q$8:$Q$666666&lt;=设置!$J$24)*(个贷明细!$N$8:$N$666666))+SUMPRODUCT((企贷明细!$M$8:$M$666666=A53)*(企贷明细!$Q$8:$Q$666666&gt;=设置!$E$23)*(企贷明细!$Q$8:$Q$666666&lt;=设置!$J$24)*(企贷明细!$N$8:$N$666666))</f>
        <v>0</v>
      </c>
      <c r="M53" s="56">
        <f>SUMPRODUCT((个贷明细!$M$8:$M$666666=A53)*(个贷明细!$Q$8:$Q$666666&lt;(设置!$J$24+1))*(个贷明细!$R$8:$R$666666&gt;设置!$J$24)*(个贷明细!$T$8:$T$666666=0)*(个贷明细!$N$8:$N$666666))+SUMPRODUCT((个贷明细!$M$8:$M$666666=A53)*(个贷明细!$Q$8:$Q$666666&lt;(设置!$J$24+1))*(个贷明细!$R$8:$R$666666&gt;设置!$J$24)*(个贷明细!$T$8:$T$666666&gt;设置!$J$24)*(个贷明细!$N$8:$N$666666))+SUMPRODUCT((企贷明细!$M$8:$M$666666=A53)*(企贷明细!$Q$8:$Q$666666&lt;(设置!$J$24+1))*(企贷明细!$R$8:$R$666666&gt;设置!$J$24)*(企贷明细!$T$8:$T$666666=0)*(企贷明细!$N$8:$N$666666))+SUMPRODUCT((企贷明细!$M$8:$M$666666=A53)*(企贷明细!$Q$8:$Q$666666&lt;(设置!$J$24+1))*(企贷明细!$R$8:$R$666666&gt;设置!$J$24)*(企贷明细!$T$8:$T$666666&gt;设置!$J$24)*(企贷明细!$N$8:$N$666666))</f>
        <v>0</v>
      </c>
      <c r="N53" s="56">
        <f t="shared" si="29"/>
        <v>0</v>
      </c>
      <c r="O53" s="56">
        <f t="shared" si="30"/>
        <v>0</v>
      </c>
      <c r="P53" s="56">
        <f>'1季统计'!F53+'2季统计'!F53+'3季统计'!F53+F53</f>
        <v>0</v>
      </c>
      <c r="Q53" s="56">
        <f>'1季统计'!G53+'2季统计'!G53+'3季统计'!G53+G53</f>
        <v>0</v>
      </c>
      <c r="R53" s="56">
        <f>'1季统计'!H53+'2季统计'!H53+'3季统计'!H53+H53</f>
        <v>0</v>
      </c>
      <c r="S53" s="56">
        <f t="shared" si="31"/>
        <v>0</v>
      </c>
      <c r="T53" s="56">
        <f>'1季统计'!J53+'2季统计'!J53+'3季统计'!J53+J53</f>
        <v>0</v>
      </c>
      <c r="U53" s="56">
        <f>'1季统计'!K53+'2季统计'!K53+'3季统计'!K53+K53</f>
        <v>0</v>
      </c>
    </row>
    <row r="54" ht="14.25" spans="1:21">
      <c r="A54" s="68" t="str">
        <f>'1季统计'!A54</f>
        <v>汉口银行</v>
      </c>
      <c r="B54" s="56">
        <f>SUMPRODUCT((个贷明细!$M$8:$M$666666=A54)*(个贷明细!$Q$8:$Q$666666&gt;=设置!$J$23)*(个贷明细!$Q$8:$Q$666666&lt;=设置!$J$24)*(个贷明细!$N$8:$N$666666))+SUMPRODUCT((企贷明细!$M$8:$M$666666=A54)*(企贷明细!$Q$8:$Q$666666&gt;=设置!$J$23)*(企贷明细!$Q$8:$Q$666666&lt;=设置!$J$24)*(企贷明细!$N$8:$N$666666))</f>
        <v>0</v>
      </c>
      <c r="C54" s="56">
        <f>SUMPRODUCT((个贷明细!$M$8:$M$666666=A54)*(个贷明细!$Q$8:$Q$666666&lt;(设置!$J$24+1))*(个贷明细!$R$8:$R$666666&gt;设置!$J$24)*(个贷明细!$T$8:$T$666666=0)*(个贷明细!$N$8:$N$666666))+SUMPRODUCT((个贷明细!$M$8:$M$666666=A54)*(个贷明细!$Q$8:$Q$666666&lt;(设置!$J$24+1))*(个贷明细!$R$8:$R$666666&gt;设置!$J$24)*(个贷明细!$T$8:$T$666666&gt;设置!$J$24)*(个贷明细!$N$8:$N$666666))+SUMPRODUCT((企贷明细!$M$8:$M$666666=A54)*(企贷明细!$Q$8:$Q$666666&lt;(设置!$J$24+1))*(企贷明细!$R$8:$R$666666&gt;设置!$J$24)*(企贷明细!$T$8:$T$666666=0)*(企贷明细!$N$8:$N$666666))+SUMPRODUCT((个贷明细!$M$8:$M$666666=A54)*(企贷明细!$Q$8:$Q$666666&lt;(设置!$J$24+1))*(企贷明细!$R$8:$R$666666&gt;设置!$J$24)*(企贷明细!$T$8:$T$666666&gt;设置!$J$24)*(企贷明细!$N$8:$N$666666))</f>
        <v>0</v>
      </c>
      <c r="D54" s="56">
        <f t="shared" si="26"/>
        <v>0</v>
      </c>
      <c r="E54" s="56">
        <f t="shared" si="27"/>
        <v>0</v>
      </c>
      <c r="F54" s="56">
        <f>SUMPRODUCT((个贷明细!$M$8:$M$666666=A54)*(个贷明细!$BC$8:$BC$666666))+SUMPRODUCT((企贷明细!$M$8:$M$666666=A54)*(企贷明细!$BI$8:$BI$666666))</f>
        <v>0</v>
      </c>
      <c r="G54" s="56">
        <f>SUMPRODUCT((个贷明细!$M$8:$M$666666=A54)*(个贷明细!$BD$8:$BD$666666))+SUMPRODUCT((企贷明细!$M$8:$M$666666=A54)*(企贷明细!$BJ$8:$BJ$666666))</f>
        <v>0</v>
      </c>
      <c r="H54" s="56">
        <f>SUMPRODUCT((个贷明细!$M$8:$M$666666=A54)*(个贷明细!$BE$8:$BE$666666))+SUMPRODUCT((企贷明细!$M$8:$M$666666=A54)*(企贷明细!$BK$8:$BK$666666))</f>
        <v>0</v>
      </c>
      <c r="I54" s="56">
        <f t="shared" si="28"/>
        <v>0</v>
      </c>
      <c r="J54" s="56">
        <f>SUMPRODUCT((企贷明细!$M$8:$M$666666=A54)*(企贷明细!$BL$8:$BL$666666))</f>
        <v>0</v>
      </c>
      <c r="K54" s="56">
        <f>SUMPRODUCT((个贷明细!$M$8:$M$666666=A54)*(个贷明细!$BG$8:$BG$666666))+SUMPRODUCT((企贷明细!$M$8:$M$666666=A54)*(企贷明细!$BM$8:$BM$666666))+SUMPRODUCT((企贷明细!$M$8:$M$666666=A54)*(企贷明细!$BO$8:$BO$666666))</f>
        <v>0</v>
      </c>
      <c r="L54" s="56">
        <f>SUMPRODUCT((个贷明细!$M$8:$M$666666=A54)*(个贷明细!$Q$8:$Q$666666&gt;=设置!$E$23)*(个贷明细!$Q$8:$Q$666666&lt;=设置!$J$24)*(个贷明细!$N$8:$N$666666))+SUMPRODUCT((企贷明细!$M$8:$M$666666=A54)*(企贷明细!$Q$8:$Q$666666&gt;=设置!$E$23)*(企贷明细!$Q$8:$Q$666666&lt;=设置!$J$24)*(企贷明细!$N$8:$N$666666))</f>
        <v>0</v>
      </c>
      <c r="M54" s="56">
        <f>SUMPRODUCT((个贷明细!$M$8:$M$666666=A54)*(个贷明细!$Q$8:$Q$666666&lt;(设置!$J$24+1))*(个贷明细!$R$8:$R$666666&gt;设置!$J$24)*(个贷明细!$T$8:$T$666666=0)*(个贷明细!$N$8:$N$666666))+SUMPRODUCT((个贷明细!$M$8:$M$666666=A54)*(个贷明细!$Q$8:$Q$666666&lt;(设置!$J$24+1))*(个贷明细!$R$8:$R$666666&gt;设置!$J$24)*(个贷明细!$T$8:$T$666666&gt;设置!$J$24)*(个贷明细!$N$8:$N$666666))+SUMPRODUCT((企贷明细!$M$8:$M$666666=A54)*(企贷明细!$Q$8:$Q$666666&lt;(设置!$J$24+1))*(企贷明细!$R$8:$R$666666&gt;设置!$J$24)*(企贷明细!$T$8:$T$666666=0)*(企贷明细!$N$8:$N$666666))+SUMPRODUCT((企贷明细!$M$8:$M$666666=A54)*(企贷明细!$Q$8:$Q$666666&lt;(设置!$J$24+1))*(企贷明细!$R$8:$R$666666&gt;设置!$J$24)*(企贷明细!$T$8:$T$666666&gt;设置!$J$24)*(企贷明细!$N$8:$N$666666))</f>
        <v>0</v>
      </c>
      <c r="N54" s="56">
        <f t="shared" si="29"/>
        <v>0</v>
      </c>
      <c r="O54" s="56">
        <f t="shared" si="30"/>
        <v>0</v>
      </c>
      <c r="P54" s="56">
        <f>'1季统计'!F54+'2季统计'!F54+'3季统计'!F54+F54</f>
        <v>0</v>
      </c>
      <c r="Q54" s="56">
        <f>'1季统计'!G54+'2季统计'!G54+'3季统计'!G54+G54</f>
        <v>0</v>
      </c>
      <c r="R54" s="56">
        <f>'1季统计'!H54+'2季统计'!H54+'3季统计'!H54+H54</f>
        <v>0</v>
      </c>
      <c r="S54" s="56">
        <f t="shared" si="31"/>
        <v>0</v>
      </c>
      <c r="T54" s="56">
        <f>'1季统计'!J54+'2季统计'!J54+'3季统计'!J54+J54</f>
        <v>0</v>
      </c>
      <c r="U54" s="56">
        <f>'1季统计'!K54+'2季统计'!K54+'3季统计'!K54+K54</f>
        <v>0</v>
      </c>
    </row>
    <row r="55" ht="14.25" spans="1:21">
      <c r="A55" s="68" t="str">
        <f>'1季统计'!A55</f>
        <v>其他城商行</v>
      </c>
      <c r="B55" s="56">
        <f>SUMPRODUCT((个贷明细!$M$8:$M$666666=A55)*(个贷明细!$Q$8:$Q$666666&gt;=设置!$J$23)*(个贷明细!$Q$8:$Q$666666&lt;=设置!$J$24)*(个贷明细!$N$8:$N$666666))+SUMPRODUCT((企贷明细!$M$8:$M$666666=A55)*(企贷明细!$Q$8:$Q$666666&gt;=设置!$J$23)*(企贷明细!$Q$8:$Q$666666&lt;=设置!$J$24)*(企贷明细!$N$8:$N$666666))</f>
        <v>0</v>
      </c>
      <c r="C55" s="56">
        <f>SUMPRODUCT((个贷明细!$M$8:$M$666666=A55)*(个贷明细!$Q$8:$Q$666666&lt;(设置!$J$24+1))*(个贷明细!$R$8:$R$666666&gt;设置!$J$24)*(个贷明细!$T$8:$T$666666=0)*(个贷明细!$N$8:$N$666666))+SUMPRODUCT((个贷明细!$M$8:$M$666666=A55)*(个贷明细!$Q$8:$Q$666666&lt;(设置!$J$24+1))*(个贷明细!$R$8:$R$666666&gt;设置!$J$24)*(个贷明细!$T$8:$T$666666&gt;设置!$J$24)*(个贷明细!$N$8:$N$666666))+SUMPRODUCT((企贷明细!$M$8:$M$666666=A55)*(企贷明细!$Q$8:$Q$666666&lt;(设置!$J$24+1))*(企贷明细!$R$8:$R$666666&gt;设置!$J$24)*(企贷明细!$T$8:$T$666666=0)*(企贷明细!$N$8:$N$666666))+SUMPRODUCT((个贷明细!$M$8:$M$666666=A55)*(企贷明细!$Q$8:$Q$666666&lt;(设置!$J$24+1))*(企贷明细!$R$8:$R$666666&gt;设置!$J$24)*(企贷明细!$T$8:$T$666666&gt;设置!$J$24)*(企贷明细!$N$8:$N$666666))</f>
        <v>0</v>
      </c>
      <c r="D55" s="56">
        <f t="shared" si="26"/>
        <v>0</v>
      </c>
      <c r="E55" s="56">
        <f t="shared" si="27"/>
        <v>0</v>
      </c>
      <c r="F55" s="56">
        <f>SUMPRODUCT((个贷明细!$M$8:$M$666666=A55)*(个贷明细!$BC$8:$BC$666666))+SUMPRODUCT((企贷明细!$M$8:$M$666666=A55)*(企贷明细!$BI$8:$BI$666666))</f>
        <v>0</v>
      </c>
      <c r="G55" s="56">
        <f>SUMPRODUCT((个贷明细!$M$8:$M$666666=A55)*(个贷明细!$BD$8:$BD$666666))+SUMPRODUCT((企贷明细!$M$8:$M$666666=A55)*(企贷明细!$BJ$8:$BJ$666666))</f>
        <v>0</v>
      </c>
      <c r="H55" s="56">
        <f>SUMPRODUCT((个贷明细!$M$8:$M$666666=A55)*(个贷明细!$BE$8:$BE$666666))+SUMPRODUCT((企贷明细!$M$8:$M$666666=A55)*(企贷明细!$BK$8:$BK$666666))</f>
        <v>0</v>
      </c>
      <c r="I55" s="56">
        <f t="shared" si="28"/>
        <v>0</v>
      </c>
      <c r="J55" s="56">
        <f>SUMPRODUCT((企贷明细!$M$8:$M$666666=A55)*(企贷明细!$BL$8:$BL$666666))</f>
        <v>0</v>
      </c>
      <c r="K55" s="56">
        <f>SUMPRODUCT((个贷明细!$M$8:$M$666666=A55)*(个贷明细!$BG$8:$BG$666666))+SUMPRODUCT((企贷明细!$M$8:$M$666666=A55)*(企贷明细!$BM$8:$BM$666666))+SUMPRODUCT((企贷明细!$M$8:$M$666666=A55)*(企贷明细!$BO$8:$BO$666666))</f>
        <v>0</v>
      </c>
      <c r="L55" s="56">
        <f>SUMPRODUCT((个贷明细!$M$8:$M$666666=A55)*(个贷明细!$Q$8:$Q$666666&gt;=设置!$E$23)*(个贷明细!$Q$8:$Q$666666&lt;=设置!$J$24)*(个贷明细!$N$8:$N$666666))+SUMPRODUCT((企贷明细!$M$8:$M$666666=A55)*(企贷明细!$Q$8:$Q$666666&gt;=设置!$E$23)*(企贷明细!$Q$8:$Q$666666&lt;=设置!$J$24)*(企贷明细!$N$8:$N$666666))</f>
        <v>0</v>
      </c>
      <c r="M55" s="56">
        <f>SUMPRODUCT((个贷明细!$M$8:$M$666666=A55)*(个贷明细!$Q$8:$Q$666666&lt;(设置!$J$24+1))*(个贷明细!$R$8:$R$666666&gt;设置!$J$24)*(个贷明细!$T$8:$T$666666=0)*(个贷明细!$N$8:$N$666666))+SUMPRODUCT((个贷明细!$M$8:$M$666666=A55)*(个贷明细!$Q$8:$Q$666666&lt;(设置!$J$24+1))*(个贷明细!$R$8:$R$666666&gt;设置!$J$24)*(个贷明细!$T$8:$T$666666&gt;设置!$J$24)*(个贷明细!$N$8:$N$666666))+SUMPRODUCT((企贷明细!$M$8:$M$666666=A55)*(企贷明细!$Q$8:$Q$666666&lt;(设置!$J$24+1))*(企贷明细!$R$8:$R$666666&gt;设置!$J$24)*(企贷明细!$T$8:$T$666666=0)*(企贷明细!$N$8:$N$666666))+SUMPRODUCT((企贷明细!$M$8:$M$666666=A55)*(企贷明细!$Q$8:$Q$666666&lt;(设置!$J$24+1))*(企贷明细!$R$8:$R$666666&gt;设置!$J$24)*(企贷明细!$T$8:$T$666666&gt;设置!$J$24)*(企贷明细!$N$8:$N$666666))</f>
        <v>0</v>
      </c>
      <c r="N55" s="56">
        <f t="shared" si="29"/>
        <v>0</v>
      </c>
      <c r="O55" s="56">
        <f t="shared" si="30"/>
        <v>0</v>
      </c>
      <c r="P55" s="56">
        <f>'1季统计'!F55+'2季统计'!F55+'3季统计'!F55+F55</f>
        <v>0</v>
      </c>
      <c r="Q55" s="56">
        <f>'1季统计'!G55+'2季统计'!G55+'3季统计'!G55+G55</f>
        <v>0</v>
      </c>
      <c r="R55" s="56">
        <f>'1季统计'!H55+'2季统计'!H55+'3季统计'!H55+H55</f>
        <v>0</v>
      </c>
      <c r="S55" s="56">
        <f t="shared" si="31"/>
        <v>0</v>
      </c>
      <c r="T55" s="56">
        <f>'1季统计'!J55+'2季统计'!J55+'3季统计'!J55+J55</f>
        <v>0</v>
      </c>
      <c r="U55" s="56">
        <f>'1季统计'!K55+'2季统计'!K55+'3季统计'!K55+K55</f>
        <v>0</v>
      </c>
    </row>
    <row r="56" ht="14.25" spans="1:21">
      <c r="A56" s="68" t="str">
        <f>'1季统计'!A56</f>
        <v>其他城商行2</v>
      </c>
      <c r="B56" s="56">
        <f>SUMPRODUCT((个贷明细!$M$8:$M$666666=A56)*(个贷明细!$Q$8:$Q$666666&gt;=设置!$J$23)*(个贷明细!$Q$8:$Q$666666&lt;=设置!$J$24)*(个贷明细!$N$8:$N$666666))+SUMPRODUCT((企贷明细!$M$8:$M$666666=A56)*(企贷明细!$Q$8:$Q$666666&gt;=设置!$J$23)*(企贷明细!$Q$8:$Q$666666&lt;=设置!$J$24)*(企贷明细!$N$8:$N$666666))</f>
        <v>0</v>
      </c>
      <c r="C56" s="56">
        <f>SUMPRODUCT((个贷明细!$M$8:$M$666666=A56)*(个贷明细!$Q$8:$Q$666666&lt;(设置!$J$24+1))*(个贷明细!$R$8:$R$666666&gt;设置!$J$24)*(个贷明细!$T$8:$T$666666=0)*(个贷明细!$N$8:$N$666666))+SUMPRODUCT((个贷明细!$M$8:$M$666666=A56)*(个贷明细!$Q$8:$Q$666666&lt;(设置!$J$24+1))*(个贷明细!$R$8:$R$666666&gt;设置!$J$24)*(个贷明细!$T$8:$T$666666&gt;设置!$J$24)*(个贷明细!$N$8:$N$666666))+SUMPRODUCT((企贷明细!$M$8:$M$666666=A56)*(企贷明细!$Q$8:$Q$666666&lt;(设置!$J$24+1))*(企贷明细!$R$8:$R$666666&gt;设置!$J$24)*(企贷明细!$T$8:$T$666666=0)*(企贷明细!$N$8:$N$666666))+SUMPRODUCT((个贷明细!$M$8:$M$666666=A56)*(企贷明细!$Q$8:$Q$666666&lt;(设置!$J$24+1))*(企贷明细!$R$8:$R$666666&gt;设置!$J$24)*(企贷明细!$T$8:$T$666666&gt;设置!$J$24)*(企贷明细!$N$8:$N$666666))</f>
        <v>0</v>
      </c>
      <c r="D56" s="56">
        <f t="shared" si="26"/>
        <v>0</v>
      </c>
      <c r="E56" s="56">
        <f t="shared" si="27"/>
        <v>0</v>
      </c>
      <c r="F56" s="56">
        <f>SUMPRODUCT((个贷明细!$M$8:$M$666666=A56)*(个贷明细!$BC$8:$BC$666666))+SUMPRODUCT((企贷明细!$M$8:$M$666666=A56)*(企贷明细!$BI$8:$BI$666666))</f>
        <v>0</v>
      </c>
      <c r="G56" s="56">
        <f>SUMPRODUCT((个贷明细!$M$8:$M$666666=A56)*(个贷明细!$BD$8:$BD$666666))+SUMPRODUCT((企贷明细!$M$8:$M$666666=A56)*(企贷明细!$BJ$8:$BJ$666666))</f>
        <v>0</v>
      </c>
      <c r="H56" s="56">
        <f>SUMPRODUCT((个贷明细!$M$8:$M$666666=A56)*(个贷明细!$BE$8:$BE$666666))+SUMPRODUCT((企贷明细!$M$8:$M$666666=A56)*(企贷明细!$BK$8:$BK$666666))</f>
        <v>0</v>
      </c>
      <c r="I56" s="56">
        <f t="shared" si="28"/>
        <v>0</v>
      </c>
      <c r="J56" s="56">
        <f>SUMPRODUCT((企贷明细!$M$8:$M$666666=A56)*(企贷明细!$BL$8:$BL$666666))</f>
        <v>0</v>
      </c>
      <c r="K56" s="56">
        <f>SUMPRODUCT((个贷明细!$M$8:$M$666666=A56)*(个贷明细!$BG$8:$BG$666666))+SUMPRODUCT((企贷明细!$M$8:$M$666666=A56)*(企贷明细!$BM$8:$BM$666666))+SUMPRODUCT((企贷明细!$M$8:$M$666666=A56)*(企贷明细!$BO$8:$BO$666666))</f>
        <v>0</v>
      </c>
      <c r="L56" s="56">
        <f>SUMPRODUCT((个贷明细!$M$8:$M$666666=A56)*(个贷明细!$Q$8:$Q$666666&gt;=设置!$E$23)*(个贷明细!$Q$8:$Q$666666&lt;=设置!$J$24)*(个贷明细!$N$8:$N$666666))+SUMPRODUCT((企贷明细!$M$8:$M$666666=A56)*(企贷明细!$Q$8:$Q$666666&gt;=设置!$E$23)*(企贷明细!$Q$8:$Q$666666&lt;=设置!$J$24)*(企贷明细!$N$8:$N$666666))</f>
        <v>0</v>
      </c>
      <c r="M56" s="56">
        <f>SUMPRODUCT((个贷明细!$M$8:$M$666666=A56)*(个贷明细!$Q$8:$Q$666666&lt;(设置!$J$24+1))*(个贷明细!$R$8:$R$666666&gt;设置!$J$24)*(个贷明细!$T$8:$T$666666=0)*(个贷明细!$N$8:$N$666666))+SUMPRODUCT((个贷明细!$M$8:$M$666666=A56)*(个贷明细!$Q$8:$Q$666666&lt;(设置!$J$24+1))*(个贷明细!$R$8:$R$666666&gt;设置!$J$24)*(个贷明细!$T$8:$T$666666&gt;设置!$J$24)*(个贷明细!$N$8:$N$666666))+SUMPRODUCT((企贷明细!$M$8:$M$666666=A56)*(企贷明细!$Q$8:$Q$666666&lt;(设置!$J$24+1))*(企贷明细!$R$8:$R$666666&gt;设置!$J$24)*(企贷明细!$T$8:$T$666666=0)*(企贷明细!$N$8:$N$666666))+SUMPRODUCT((企贷明细!$M$8:$M$666666=A56)*(企贷明细!$Q$8:$Q$666666&lt;(设置!$J$24+1))*(企贷明细!$R$8:$R$666666&gt;设置!$J$24)*(企贷明细!$T$8:$T$666666&gt;设置!$J$24)*(企贷明细!$N$8:$N$666666))</f>
        <v>0</v>
      </c>
      <c r="N56" s="56">
        <f t="shared" si="29"/>
        <v>0</v>
      </c>
      <c r="O56" s="56">
        <f t="shared" si="30"/>
        <v>0</v>
      </c>
      <c r="P56" s="56">
        <f>'1季统计'!F56+'2季统计'!F56+'3季统计'!F56+F56</f>
        <v>0</v>
      </c>
      <c r="Q56" s="56">
        <f>'1季统计'!G56+'2季统计'!G56+'3季统计'!G56+G56</f>
        <v>0</v>
      </c>
      <c r="R56" s="56">
        <f>'1季统计'!H56+'2季统计'!H56+'3季统计'!H56+H56</f>
        <v>0</v>
      </c>
      <c r="S56" s="56">
        <f t="shared" si="31"/>
        <v>0</v>
      </c>
      <c r="T56" s="56">
        <f>'1季统计'!J56+'2季统计'!J56+'3季统计'!J56+J56</f>
        <v>0</v>
      </c>
      <c r="U56" s="56">
        <f>'1季统计'!K56+'2季统计'!K56+'3季统计'!K56+K56</f>
        <v>0</v>
      </c>
    </row>
    <row r="57" ht="14.25" spans="1:21">
      <c r="A57" s="68" t="str">
        <f>'1季统计'!A57</f>
        <v>其他城商行3</v>
      </c>
      <c r="B57" s="56">
        <f>SUMPRODUCT((个贷明细!$M$8:$M$666666=A57)*(个贷明细!$Q$8:$Q$666666&gt;=设置!$J$23)*(个贷明细!$Q$8:$Q$666666&lt;=设置!$J$24)*(个贷明细!$N$8:$N$666666))+SUMPRODUCT((企贷明细!$M$8:$M$666666=A57)*(企贷明细!$Q$8:$Q$666666&gt;=设置!$J$23)*(企贷明细!$Q$8:$Q$666666&lt;=设置!$J$24)*(企贷明细!$N$8:$N$666666))</f>
        <v>0</v>
      </c>
      <c r="C57" s="56">
        <f>SUMPRODUCT((个贷明细!$M$8:$M$666666=A57)*(个贷明细!$Q$8:$Q$666666&lt;(设置!$J$24+1))*(个贷明细!$R$8:$R$666666&gt;设置!$J$24)*(个贷明细!$T$8:$T$666666=0)*(个贷明细!$N$8:$N$666666))+SUMPRODUCT((个贷明细!$M$8:$M$666666=A57)*(个贷明细!$Q$8:$Q$666666&lt;(设置!$J$24+1))*(个贷明细!$R$8:$R$666666&gt;设置!$J$24)*(个贷明细!$T$8:$T$666666&gt;设置!$J$24)*(个贷明细!$N$8:$N$666666))+SUMPRODUCT((企贷明细!$M$8:$M$666666=A57)*(企贷明细!$Q$8:$Q$666666&lt;(设置!$J$24+1))*(企贷明细!$R$8:$R$666666&gt;设置!$J$24)*(企贷明细!$T$8:$T$666666=0)*(企贷明细!$N$8:$N$666666))+SUMPRODUCT((个贷明细!$M$8:$M$666666=A57)*(企贷明细!$Q$8:$Q$666666&lt;(设置!$J$24+1))*(企贷明细!$R$8:$R$666666&gt;设置!$J$24)*(企贷明细!$T$8:$T$666666&gt;设置!$J$24)*(企贷明细!$N$8:$N$666666))</f>
        <v>0</v>
      </c>
      <c r="D57" s="56">
        <f t="shared" si="26"/>
        <v>0</v>
      </c>
      <c r="E57" s="56">
        <f t="shared" si="27"/>
        <v>0</v>
      </c>
      <c r="F57" s="56">
        <f>SUMPRODUCT((个贷明细!$M$8:$M$666666=A57)*(个贷明细!$BC$8:$BC$666666))+SUMPRODUCT((企贷明细!$M$8:$M$666666=A57)*(企贷明细!$BI$8:$BI$666666))</f>
        <v>0</v>
      </c>
      <c r="G57" s="56">
        <f>SUMPRODUCT((个贷明细!$M$8:$M$666666=A57)*(个贷明细!$BD$8:$BD$666666))+SUMPRODUCT((企贷明细!$M$8:$M$666666=A57)*(企贷明细!$BJ$8:$BJ$666666))</f>
        <v>0</v>
      </c>
      <c r="H57" s="56">
        <f>SUMPRODUCT((个贷明细!$M$8:$M$666666=A57)*(个贷明细!$BE$8:$BE$666666))+SUMPRODUCT((企贷明细!$M$8:$M$666666=A57)*(企贷明细!$BK$8:$BK$666666))</f>
        <v>0</v>
      </c>
      <c r="I57" s="56">
        <f t="shared" si="28"/>
        <v>0</v>
      </c>
      <c r="J57" s="56">
        <f>SUMPRODUCT((企贷明细!$M$8:$M$666666=A57)*(企贷明细!$BL$8:$BL$666666))</f>
        <v>0</v>
      </c>
      <c r="K57" s="56">
        <f>SUMPRODUCT((个贷明细!$M$8:$M$666666=A57)*(个贷明细!$BG$8:$BG$666666))+SUMPRODUCT((企贷明细!$M$8:$M$666666=A57)*(企贷明细!$BM$8:$BM$666666))+SUMPRODUCT((企贷明细!$M$8:$M$666666=A57)*(企贷明细!$BO$8:$BO$666666))</f>
        <v>0</v>
      </c>
      <c r="L57" s="56">
        <f>SUMPRODUCT((个贷明细!$M$8:$M$666666=A57)*(个贷明细!$Q$8:$Q$666666&gt;=设置!$E$23)*(个贷明细!$Q$8:$Q$666666&lt;=设置!$J$24)*(个贷明细!$N$8:$N$666666))+SUMPRODUCT((企贷明细!$M$8:$M$666666=A57)*(企贷明细!$Q$8:$Q$666666&gt;=设置!$E$23)*(企贷明细!$Q$8:$Q$666666&lt;=设置!$J$24)*(企贷明细!$N$8:$N$666666))</f>
        <v>0</v>
      </c>
      <c r="M57" s="56">
        <f>SUMPRODUCT((个贷明细!$M$8:$M$666666=A57)*(个贷明细!$Q$8:$Q$666666&lt;(设置!$J$24+1))*(个贷明细!$R$8:$R$666666&gt;设置!$J$24)*(个贷明细!$T$8:$T$666666=0)*(个贷明细!$N$8:$N$666666))+SUMPRODUCT((个贷明细!$M$8:$M$666666=A57)*(个贷明细!$Q$8:$Q$666666&lt;(设置!$J$24+1))*(个贷明细!$R$8:$R$666666&gt;设置!$J$24)*(个贷明细!$T$8:$T$666666&gt;设置!$J$24)*(个贷明细!$N$8:$N$666666))+SUMPRODUCT((企贷明细!$M$8:$M$666666=A57)*(企贷明细!$Q$8:$Q$666666&lt;(设置!$J$24+1))*(企贷明细!$R$8:$R$666666&gt;设置!$J$24)*(企贷明细!$T$8:$T$666666=0)*(企贷明细!$N$8:$N$666666))+SUMPRODUCT((企贷明细!$M$8:$M$666666=A57)*(企贷明细!$Q$8:$Q$666666&lt;(设置!$J$24+1))*(企贷明细!$R$8:$R$666666&gt;设置!$J$24)*(企贷明细!$T$8:$T$666666&gt;设置!$J$24)*(企贷明细!$N$8:$N$666666))</f>
        <v>0</v>
      </c>
      <c r="N57" s="56">
        <f t="shared" si="29"/>
        <v>0</v>
      </c>
      <c r="O57" s="56">
        <f t="shared" si="30"/>
        <v>0</v>
      </c>
      <c r="P57" s="56">
        <f>'1季统计'!F57+'2季统计'!F57+'3季统计'!F57+F57</f>
        <v>0</v>
      </c>
      <c r="Q57" s="56">
        <f>'1季统计'!G57+'2季统计'!G57+'3季统计'!G57+G57</f>
        <v>0</v>
      </c>
      <c r="R57" s="56">
        <f>'1季统计'!H57+'2季统计'!H57+'3季统计'!H57+H57</f>
        <v>0</v>
      </c>
      <c r="S57" s="56">
        <f t="shared" si="31"/>
        <v>0</v>
      </c>
      <c r="T57" s="56">
        <f>'1季统计'!J57+'2季统计'!J57+'3季统计'!J57+J57</f>
        <v>0</v>
      </c>
      <c r="U57" s="56">
        <f>'1季统计'!K57+'2季统计'!K57+'3季统计'!K57+K57</f>
        <v>0</v>
      </c>
    </row>
    <row r="58" ht="14.25" spans="1:21">
      <c r="A58" s="68" t="str">
        <f>'1季统计'!A58</f>
        <v>农商行</v>
      </c>
      <c r="B58" s="56">
        <f>SUMPRODUCT((个贷明细!$M$8:$M$666666=A58)*(个贷明细!$Q$8:$Q$666666&gt;=设置!$J$23)*(个贷明细!$Q$8:$Q$666666&lt;=设置!$J$24)*(个贷明细!$N$8:$N$666666))+SUMPRODUCT((企贷明细!$M$8:$M$666666=A58)*(企贷明细!$Q$8:$Q$666666&gt;=设置!$J$23)*(企贷明细!$Q$8:$Q$666666&lt;=设置!$J$24)*(企贷明细!$N$8:$N$666666))</f>
        <v>0</v>
      </c>
      <c r="C58" s="56">
        <f>SUMPRODUCT((个贷明细!$M$8:$M$666666=A58)*(个贷明细!$Q$8:$Q$666666&lt;(设置!$J$24+1))*(个贷明细!$R$8:$R$666666&gt;设置!$J$24)*(个贷明细!$T$8:$T$666666=0)*(个贷明细!$N$8:$N$666666))+SUMPRODUCT((个贷明细!$M$8:$M$666666=A58)*(个贷明细!$Q$8:$Q$666666&lt;(设置!$J$24+1))*(个贷明细!$R$8:$R$666666&gt;设置!$J$24)*(个贷明细!$T$8:$T$666666&gt;设置!$J$24)*(个贷明细!$N$8:$N$666666))+SUMPRODUCT((企贷明细!$M$8:$M$666666=A58)*(企贷明细!$Q$8:$Q$666666&lt;(设置!$J$24+1))*(企贷明细!$R$8:$R$666666&gt;设置!$J$24)*(企贷明细!$T$8:$T$666666=0)*(企贷明细!$N$8:$N$666666))+SUMPRODUCT((个贷明细!$M$8:$M$666666=A58)*(企贷明细!$Q$8:$Q$666666&lt;(设置!$J$24+1))*(企贷明细!$R$8:$R$666666&gt;设置!$J$24)*(企贷明细!$T$8:$T$666666&gt;设置!$J$24)*(企贷明细!$N$8:$N$666666))</f>
        <v>0</v>
      </c>
      <c r="D58" s="56">
        <f t="shared" si="26"/>
        <v>0</v>
      </c>
      <c r="E58" s="56">
        <f t="shared" si="27"/>
        <v>0</v>
      </c>
      <c r="F58" s="56">
        <f>SUMPRODUCT((个贷明细!$M$8:$M$666666=A58)*(个贷明细!$BC$8:$BC$666666))+SUMPRODUCT((企贷明细!$M$8:$M$666666=A58)*(企贷明细!$BI$8:$BI$666666))</f>
        <v>0</v>
      </c>
      <c r="G58" s="56">
        <f>SUMPRODUCT((个贷明细!$M$8:$M$666666=A58)*(个贷明细!$BD$8:$BD$666666))+SUMPRODUCT((企贷明细!$M$8:$M$666666=A58)*(企贷明细!$BJ$8:$BJ$666666))</f>
        <v>0</v>
      </c>
      <c r="H58" s="56">
        <f>SUMPRODUCT((个贷明细!$M$8:$M$666666=A58)*(个贷明细!$BE$8:$BE$666666))+SUMPRODUCT((企贷明细!$M$8:$M$666666=A58)*(企贷明细!$BK$8:$BK$666666))</f>
        <v>0</v>
      </c>
      <c r="I58" s="56">
        <f t="shared" si="28"/>
        <v>0</v>
      </c>
      <c r="J58" s="56">
        <f>SUMPRODUCT((企贷明细!$M$8:$M$666666=A58)*(企贷明细!$BL$8:$BL$666666))</f>
        <v>0</v>
      </c>
      <c r="K58" s="56">
        <f>SUMPRODUCT((个贷明细!$M$8:$M$666666=A58)*(个贷明细!$BG$8:$BG$666666))+SUMPRODUCT((企贷明细!$M$8:$M$666666=A58)*(企贷明细!$BM$8:$BM$666666))+SUMPRODUCT((企贷明细!$M$8:$M$666666=A58)*(企贷明细!$BO$8:$BO$666666))</f>
        <v>0</v>
      </c>
      <c r="L58" s="56">
        <f>SUMPRODUCT((个贷明细!$M$8:$M$666666=A58)*(个贷明细!$Q$8:$Q$666666&gt;=设置!$E$23)*(个贷明细!$Q$8:$Q$666666&lt;=设置!$J$24)*(个贷明细!$N$8:$N$666666))+SUMPRODUCT((企贷明细!$M$8:$M$666666=A58)*(企贷明细!$Q$8:$Q$666666&gt;=设置!$E$23)*(企贷明细!$Q$8:$Q$666666&lt;=设置!$J$24)*(企贷明细!$N$8:$N$666666))</f>
        <v>0</v>
      </c>
      <c r="M58" s="56">
        <f>SUMPRODUCT((个贷明细!$M$8:$M$666666=A58)*(个贷明细!$Q$8:$Q$666666&lt;(设置!$J$24+1))*(个贷明细!$R$8:$R$666666&gt;设置!$J$24)*(个贷明细!$T$8:$T$666666=0)*(个贷明细!$N$8:$N$666666))+SUMPRODUCT((个贷明细!$M$8:$M$666666=A58)*(个贷明细!$Q$8:$Q$666666&lt;(设置!$J$24+1))*(个贷明细!$R$8:$R$666666&gt;设置!$J$24)*(个贷明细!$T$8:$T$666666&gt;设置!$J$24)*(个贷明细!$N$8:$N$666666))+SUMPRODUCT((企贷明细!$M$8:$M$666666=A58)*(企贷明细!$Q$8:$Q$666666&lt;(设置!$J$24+1))*(企贷明细!$R$8:$R$666666&gt;设置!$J$24)*(企贷明细!$T$8:$T$666666=0)*(企贷明细!$N$8:$N$666666))+SUMPRODUCT((企贷明细!$M$8:$M$666666=A58)*(企贷明细!$Q$8:$Q$666666&lt;(设置!$J$24+1))*(企贷明细!$R$8:$R$666666&gt;设置!$J$24)*(企贷明细!$T$8:$T$666666&gt;设置!$J$24)*(企贷明细!$N$8:$N$666666))</f>
        <v>0</v>
      </c>
      <c r="N58" s="56">
        <f t="shared" si="29"/>
        <v>0</v>
      </c>
      <c r="O58" s="56">
        <f t="shared" si="30"/>
        <v>0</v>
      </c>
      <c r="P58" s="56">
        <f>'1季统计'!F58+'2季统计'!F58+'3季统计'!F58+F58</f>
        <v>0</v>
      </c>
      <c r="Q58" s="56">
        <f>'1季统计'!G58+'2季统计'!G58+'3季统计'!G58+G58</f>
        <v>0</v>
      </c>
      <c r="R58" s="56">
        <f>'1季统计'!H58+'2季统计'!H58+'3季统计'!H58+H58</f>
        <v>0</v>
      </c>
      <c r="S58" s="56">
        <f t="shared" si="31"/>
        <v>0</v>
      </c>
      <c r="T58" s="56">
        <f>'1季统计'!J58+'2季统计'!J58+'3季统计'!J58+J58</f>
        <v>0</v>
      </c>
      <c r="U58" s="56">
        <f>'1季统计'!K58+'2季统计'!K58+'3季统计'!K58+K58</f>
        <v>0</v>
      </c>
    </row>
    <row r="59" ht="14.25" spans="1:21">
      <c r="A59" s="68" t="str">
        <f>'1季统计'!A59</f>
        <v>国开行</v>
      </c>
      <c r="B59" s="56">
        <f>SUMPRODUCT((个贷明细!$M$8:$M$666666=A59)*(个贷明细!$Q$8:$Q$666666&gt;=设置!$J$23)*(个贷明细!$Q$8:$Q$666666&lt;=设置!$J$24)*(个贷明细!$N$8:$N$666666))+SUMPRODUCT((企贷明细!$M$8:$M$666666=A59)*(企贷明细!$Q$8:$Q$666666&gt;=设置!$J$23)*(企贷明细!$Q$8:$Q$666666&lt;=设置!$J$24)*(企贷明细!$N$8:$N$666666))</f>
        <v>0</v>
      </c>
      <c r="C59" s="56">
        <f>SUMPRODUCT((个贷明细!$M$8:$M$666666=A59)*(个贷明细!$Q$8:$Q$666666&lt;(设置!$J$24+1))*(个贷明细!$R$8:$R$666666&gt;设置!$J$24)*(个贷明细!$T$8:$T$666666=0)*(个贷明细!$N$8:$N$666666))+SUMPRODUCT((个贷明细!$M$8:$M$666666=A59)*(个贷明细!$Q$8:$Q$666666&lt;(设置!$J$24+1))*(个贷明细!$R$8:$R$666666&gt;设置!$J$24)*(个贷明细!$T$8:$T$666666&gt;设置!$J$24)*(个贷明细!$N$8:$N$666666))+SUMPRODUCT((企贷明细!$M$8:$M$666666=A59)*(企贷明细!$Q$8:$Q$666666&lt;(设置!$J$24+1))*(企贷明细!$R$8:$R$666666&gt;设置!$J$24)*(企贷明细!$T$8:$T$666666=0)*(企贷明细!$N$8:$N$666666))+SUMPRODUCT((个贷明细!$M$8:$M$666666=A59)*(企贷明细!$Q$8:$Q$666666&lt;(设置!$J$24+1))*(企贷明细!$R$8:$R$666666&gt;设置!$J$24)*(企贷明细!$T$8:$T$666666&gt;设置!$J$24)*(企贷明细!$N$8:$N$666666))</f>
        <v>0</v>
      </c>
      <c r="D59" s="56">
        <f t="shared" si="26"/>
        <v>0</v>
      </c>
      <c r="E59" s="56">
        <f t="shared" si="27"/>
        <v>0</v>
      </c>
      <c r="F59" s="56">
        <f>SUMPRODUCT((个贷明细!$M$8:$M$666666=A59)*(个贷明细!$BC$8:$BC$666666))+SUMPRODUCT((企贷明细!$M$8:$M$666666=A59)*(企贷明细!$BI$8:$BI$666666))</f>
        <v>0</v>
      </c>
      <c r="G59" s="56">
        <f>SUMPRODUCT((个贷明细!$M$8:$M$666666=A59)*(个贷明细!$BD$8:$BD$666666))+SUMPRODUCT((企贷明细!$M$8:$M$666666=A59)*(企贷明细!$BJ$8:$BJ$666666))</f>
        <v>0</v>
      </c>
      <c r="H59" s="56">
        <f>SUMPRODUCT((个贷明细!$M$8:$M$666666=A59)*(个贷明细!$BE$8:$BE$666666))+SUMPRODUCT((企贷明细!$M$8:$M$666666=A59)*(企贷明细!$BK$8:$BK$666666))</f>
        <v>0</v>
      </c>
      <c r="I59" s="56">
        <f t="shared" si="28"/>
        <v>0</v>
      </c>
      <c r="J59" s="56">
        <f>SUMPRODUCT((企贷明细!$M$8:$M$666666=A59)*(企贷明细!$BL$8:$BL$666666))</f>
        <v>0</v>
      </c>
      <c r="K59" s="56">
        <f>SUMPRODUCT((个贷明细!$M$8:$M$666666=A59)*(个贷明细!$BG$8:$BG$666666))+SUMPRODUCT((企贷明细!$M$8:$M$666666=A59)*(企贷明细!$BM$8:$BM$666666))+SUMPRODUCT((企贷明细!$M$8:$M$666666=A59)*(企贷明细!$BO$8:$BO$666666))</f>
        <v>0</v>
      </c>
      <c r="L59" s="56">
        <f>SUMPRODUCT((个贷明细!$M$8:$M$666666=A59)*(个贷明细!$Q$8:$Q$666666&gt;=设置!$E$23)*(个贷明细!$Q$8:$Q$666666&lt;=设置!$J$24)*(个贷明细!$N$8:$N$666666))+SUMPRODUCT((企贷明细!$M$8:$M$666666=A59)*(企贷明细!$Q$8:$Q$666666&gt;=设置!$E$23)*(企贷明细!$Q$8:$Q$666666&lt;=设置!$J$24)*(企贷明细!$N$8:$N$666666))</f>
        <v>0</v>
      </c>
      <c r="M59" s="56">
        <f>SUMPRODUCT((个贷明细!$M$8:$M$666666=A59)*(个贷明细!$Q$8:$Q$666666&lt;(设置!$J$24+1))*(个贷明细!$R$8:$R$666666&gt;设置!$J$24)*(个贷明细!$T$8:$T$666666=0)*(个贷明细!$N$8:$N$666666))+SUMPRODUCT((个贷明细!$M$8:$M$666666=A59)*(个贷明细!$Q$8:$Q$666666&lt;(设置!$J$24+1))*(个贷明细!$R$8:$R$666666&gt;设置!$J$24)*(个贷明细!$T$8:$T$666666&gt;设置!$J$24)*(个贷明细!$N$8:$N$666666))+SUMPRODUCT((企贷明细!$M$8:$M$666666=A59)*(企贷明细!$Q$8:$Q$666666&lt;(设置!$J$24+1))*(企贷明细!$R$8:$R$666666&gt;设置!$J$24)*(企贷明细!$T$8:$T$666666=0)*(企贷明细!$N$8:$N$666666))+SUMPRODUCT((企贷明细!$M$8:$M$666666=A59)*(企贷明细!$Q$8:$Q$666666&lt;(设置!$J$24+1))*(企贷明细!$R$8:$R$666666&gt;设置!$J$24)*(企贷明细!$T$8:$T$666666&gt;设置!$J$24)*(企贷明细!$N$8:$N$666666))</f>
        <v>0</v>
      </c>
      <c r="N59" s="56">
        <f t="shared" si="29"/>
        <v>0</v>
      </c>
      <c r="O59" s="56">
        <f t="shared" si="30"/>
        <v>0</v>
      </c>
      <c r="P59" s="56">
        <f>'1季统计'!F59+'2季统计'!F59+'3季统计'!F59+F59</f>
        <v>0</v>
      </c>
      <c r="Q59" s="56">
        <f>'1季统计'!G59+'2季统计'!G59+'3季统计'!G59+G59</f>
        <v>0</v>
      </c>
      <c r="R59" s="56">
        <f>'1季统计'!H59+'2季统计'!H59+'3季统计'!H59+H59</f>
        <v>0</v>
      </c>
      <c r="S59" s="56">
        <f t="shared" si="31"/>
        <v>0</v>
      </c>
      <c r="T59" s="56">
        <f>'1季统计'!J59+'2季统计'!J59+'3季统计'!J59+J59</f>
        <v>0</v>
      </c>
      <c r="U59" s="56">
        <f>'1季统计'!K59+'2季统计'!K59+'3季统计'!K59+K59</f>
        <v>0</v>
      </c>
    </row>
    <row r="60" ht="14.25" spans="1:21">
      <c r="A60" s="68" t="str">
        <f>'1季统计'!A60</f>
        <v>进出口行</v>
      </c>
      <c r="B60" s="56">
        <f>SUMPRODUCT((个贷明细!$M$8:$M$666666=A60)*(个贷明细!$Q$8:$Q$666666&gt;=设置!$J$23)*(个贷明细!$Q$8:$Q$666666&lt;=设置!$J$24)*(个贷明细!$N$8:$N$666666))+SUMPRODUCT((企贷明细!$M$8:$M$666666=A60)*(企贷明细!$Q$8:$Q$666666&gt;=设置!$J$23)*(企贷明细!$Q$8:$Q$666666&lt;=设置!$J$24)*(企贷明细!$N$8:$N$666666))</f>
        <v>0</v>
      </c>
      <c r="C60" s="56">
        <f>SUMPRODUCT((个贷明细!$M$8:$M$666666=A60)*(个贷明细!$Q$8:$Q$666666&lt;(设置!$J$24+1))*(个贷明细!$R$8:$R$666666&gt;设置!$J$24)*(个贷明细!$T$8:$T$666666=0)*(个贷明细!$N$8:$N$666666))+SUMPRODUCT((个贷明细!$M$8:$M$666666=A60)*(个贷明细!$Q$8:$Q$666666&lt;(设置!$J$24+1))*(个贷明细!$R$8:$R$666666&gt;设置!$J$24)*(个贷明细!$T$8:$T$666666&gt;设置!$J$24)*(个贷明细!$N$8:$N$666666))+SUMPRODUCT((企贷明细!$M$8:$M$666666=A60)*(企贷明细!$Q$8:$Q$666666&lt;(设置!$J$24+1))*(企贷明细!$R$8:$R$666666&gt;设置!$J$24)*(企贷明细!$T$8:$T$666666=0)*(企贷明细!$N$8:$N$666666))+SUMPRODUCT((个贷明细!$M$8:$M$666666=A60)*(企贷明细!$Q$8:$Q$666666&lt;(设置!$J$24+1))*(企贷明细!$R$8:$R$666666&gt;设置!$J$24)*(企贷明细!$T$8:$T$666666&gt;设置!$J$24)*(企贷明细!$N$8:$N$666666))</f>
        <v>0</v>
      </c>
      <c r="D60" s="56">
        <f t="shared" si="26"/>
        <v>0</v>
      </c>
      <c r="E60" s="56">
        <f t="shared" si="27"/>
        <v>0</v>
      </c>
      <c r="F60" s="56">
        <f>SUMPRODUCT((个贷明细!$M$8:$M$666666=A60)*(个贷明细!$BC$8:$BC$666666))+SUMPRODUCT((企贷明细!$M$8:$M$666666=A60)*(企贷明细!$BI$8:$BI$666666))</f>
        <v>0</v>
      </c>
      <c r="G60" s="56">
        <f>SUMPRODUCT((个贷明细!$M$8:$M$666666=A60)*(个贷明细!$BD$8:$BD$666666))+SUMPRODUCT((企贷明细!$M$8:$M$666666=A60)*(企贷明细!$BJ$8:$BJ$666666))</f>
        <v>0</v>
      </c>
      <c r="H60" s="56">
        <f>SUMPRODUCT((个贷明细!$M$8:$M$666666=A60)*(个贷明细!$BE$8:$BE$666666))+SUMPRODUCT((企贷明细!$M$8:$M$666666=A60)*(企贷明细!$BK$8:$BK$666666))</f>
        <v>0</v>
      </c>
      <c r="I60" s="56">
        <f t="shared" si="28"/>
        <v>0</v>
      </c>
      <c r="J60" s="56">
        <f>SUMPRODUCT((企贷明细!$M$8:$M$666666=A60)*(企贷明细!$BL$8:$BL$666666))</f>
        <v>0</v>
      </c>
      <c r="K60" s="56">
        <f>SUMPRODUCT((个贷明细!$M$8:$M$666666=A60)*(个贷明细!$BG$8:$BG$666666))+SUMPRODUCT((企贷明细!$M$8:$M$666666=A60)*(企贷明细!$BM$8:$BM$666666))+SUMPRODUCT((企贷明细!$M$8:$M$666666=A60)*(企贷明细!$BO$8:$BO$666666))</f>
        <v>0</v>
      </c>
      <c r="L60" s="56">
        <f>SUMPRODUCT((个贷明细!$M$8:$M$666666=A60)*(个贷明细!$Q$8:$Q$666666&gt;=设置!$E$23)*(个贷明细!$Q$8:$Q$666666&lt;=设置!$J$24)*(个贷明细!$N$8:$N$666666))+SUMPRODUCT((企贷明细!$M$8:$M$666666=A60)*(企贷明细!$Q$8:$Q$666666&gt;=设置!$E$23)*(企贷明细!$Q$8:$Q$666666&lt;=设置!$J$24)*(企贷明细!$N$8:$N$666666))</f>
        <v>0</v>
      </c>
      <c r="M60" s="56">
        <f>SUMPRODUCT((个贷明细!$M$8:$M$666666=A60)*(个贷明细!$Q$8:$Q$666666&lt;(设置!$J$24+1))*(个贷明细!$R$8:$R$666666&gt;设置!$J$24)*(个贷明细!$T$8:$T$666666=0)*(个贷明细!$N$8:$N$666666))+SUMPRODUCT((个贷明细!$M$8:$M$666666=A60)*(个贷明细!$Q$8:$Q$666666&lt;(设置!$J$24+1))*(个贷明细!$R$8:$R$666666&gt;设置!$J$24)*(个贷明细!$T$8:$T$666666&gt;设置!$J$24)*(个贷明细!$N$8:$N$666666))+SUMPRODUCT((企贷明细!$M$8:$M$666666=A60)*(企贷明细!$Q$8:$Q$666666&lt;(设置!$J$24+1))*(企贷明细!$R$8:$R$666666&gt;设置!$J$24)*(企贷明细!$T$8:$T$666666=0)*(企贷明细!$N$8:$N$666666))+SUMPRODUCT((企贷明细!$M$8:$M$666666=A60)*(企贷明细!$Q$8:$Q$666666&lt;(设置!$J$24+1))*(企贷明细!$R$8:$R$666666&gt;设置!$J$24)*(企贷明细!$T$8:$T$666666&gt;设置!$J$24)*(企贷明细!$N$8:$N$666666))</f>
        <v>0</v>
      </c>
      <c r="N60" s="56">
        <f t="shared" si="29"/>
        <v>0</v>
      </c>
      <c r="O60" s="56">
        <f t="shared" si="30"/>
        <v>0</v>
      </c>
      <c r="P60" s="56">
        <f>'1季统计'!F60+'2季统计'!F60+'3季统计'!F60+F60</f>
        <v>0</v>
      </c>
      <c r="Q60" s="56">
        <f>'1季统计'!G60+'2季统计'!G60+'3季统计'!G60+G60</f>
        <v>0</v>
      </c>
      <c r="R60" s="56">
        <f>'1季统计'!H60+'2季统计'!H60+'3季统计'!H60+H60</f>
        <v>0</v>
      </c>
      <c r="S60" s="56">
        <f t="shared" si="31"/>
        <v>0</v>
      </c>
      <c r="T60" s="56">
        <f>'1季统计'!J60+'2季统计'!J60+'3季统计'!J60+J60</f>
        <v>0</v>
      </c>
      <c r="U60" s="56">
        <f>'1季统计'!K60+'2季统计'!K60+'3季统计'!K60+K60</f>
        <v>0</v>
      </c>
    </row>
    <row r="61" ht="14.25" spans="1:21">
      <c r="A61" s="68" t="str">
        <f>'1季统计'!A61</f>
        <v>农发行</v>
      </c>
      <c r="B61" s="56">
        <f>SUMPRODUCT((个贷明细!$M$8:$M$666666=A61)*(个贷明细!$Q$8:$Q$666666&gt;=设置!$J$23)*(个贷明细!$Q$8:$Q$666666&lt;=设置!$J$24)*(个贷明细!$N$8:$N$666666))+SUMPRODUCT((企贷明细!$M$8:$M$666666=A61)*(企贷明细!$Q$8:$Q$666666&gt;=设置!$J$23)*(企贷明细!$Q$8:$Q$666666&lt;=设置!$J$24)*(企贷明细!$N$8:$N$666666))</f>
        <v>0</v>
      </c>
      <c r="C61" s="56">
        <f>SUMPRODUCT((个贷明细!$M$8:$M$666666=A61)*(个贷明细!$Q$8:$Q$666666&lt;(设置!$J$24+1))*(个贷明细!$R$8:$R$666666&gt;设置!$J$24)*(个贷明细!$T$8:$T$666666=0)*(个贷明细!$N$8:$N$666666))+SUMPRODUCT((个贷明细!$M$8:$M$666666=A61)*(个贷明细!$Q$8:$Q$666666&lt;(设置!$J$24+1))*(个贷明细!$R$8:$R$666666&gt;设置!$J$24)*(个贷明细!$T$8:$T$666666&gt;设置!$J$24)*(个贷明细!$N$8:$N$666666))+SUMPRODUCT((企贷明细!$M$8:$M$666666=A61)*(企贷明细!$Q$8:$Q$666666&lt;(设置!$J$24+1))*(企贷明细!$R$8:$R$666666&gt;设置!$J$24)*(企贷明细!$T$8:$T$666666=0)*(企贷明细!$N$8:$N$666666))+SUMPRODUCT((个贷明细!$M$8:$M$666666=A61)*(企贷明细!$Q$8:$Q$666666&lt;(设置!$J$24+1))*(企贷明细!$R$8:$R$666666&gt;设置!$J$24)*(企贷明细!$T$8:$T$666666&gt;设置!$J$24)*(企贷明细!$N$8:$N$666666))</f>
        <v>0</v>
      </c>
      <c r="D61" s="56">
        <f t="shared" si="26"/>
        <v>0</v>
      </c>
      <c r="E61" s="56">
        <f t="shared" si="27"/>
        <v>0</v>
      </c>
      <c r="F61" s="56">
        <f>SUMPRODUCT((个贷明细!$M$8:$M$666666=A61)*(个贷明细!$BC$8:$BC$666666))+SUMPRODUCT((企贷明细!$M$8:$M$666666=A61)*(企贷明细!$BI$8:$BI$666666))</f>
        <v>0</v>
      </c>
      <c r="G61" s="56">
        <f>SUMPRODUCT((个贷明细!$M$8:$M$666666=A61)*(个贷明细!$BD$8:$BD$666666))+SUMPRODUCT((企贷明细!$M$8:$M$666666=A61)*(企贷明细!$BJ$8:$BJ$666666))</f>
        <v>0</v>
      </c>
      <c r="H61" s="56">
        <f>SUMPRODUCT((个贷明细!$M$8:$M$666666=A61)*(个贷明细!$BE$8:$BE$666666))+SUMPRODUCT((企贷明细!$M$8:$M$666666=A61)*(企贷明细!$BK$8:$BK$666666))</f>
        <v>0</v>
      </c>
      <c r="I61" s="56">
        <f t="shared" si="28"/>
        <v>0</v>
      </c>
      <c r="J61" s="56">
        <f>SUMPRODUCT((企贷明细!$M$8:$M$666666=A61)*(企贷明细!$BL$8:$BL$666666))</f>
        <v>0</v>
      </c>
      <c r="K61" s="56">
        <f>SUMPRODUCT((个贷明细!$M$8:$M$666666=A61)*(个贷明细!$BG$8:$BG$666666))+SUMPRODUCT((企贷明细!$M$8:$M$666666=A61)*(企贷明细!$BM$8:$BM$666666))+SUMPRODUCT((企贷明细!$M$8:$M$666666=A61)*(企贷明细!$BO$8:$BO$666666))</f>
        <v>0</v>
      </c>
      <c r="L61" s="56">
        <f>SUMPRODUCT((个贷明细!$M$8:$M$666666=A61)*(个贷明细!$Q$8:$Q$666666&gt;=设置!$E$23)*(个贷明细!$Q$8:$Q$666666&lt;=设置!$J$24)*(个贷明细!$N$8:$N$666666))+SUMPRODUCT((企贷明细!$M$8:$M$666666=A61)*(企贷明细!$Q$8:$Q$666666&gt;=设置!$E$23)*(企贷明细!$Q$8:$Q$666666&lt;=设置!$J$24)*(企贷明细!$N$8:$N$666666))</f>
        <v>0</v>
      </c>
      <c r="M61" s="56">
        <f>SUMPRODUCT((个贷明细!$M$8:$M$666666=A61)*(个贷明细!$Q$8:$Q$666666&lt;(设置!$J$24+1))*(个贷明细!$R$8:$R$666666&gt;设置!$J$24)*(个贷明细!$T$8:$T$666666=0)*(个贷明细!$N$8:$N$666666))+SUMPRODUCT((个贷明细!$M$8:$M$666666=A61)*(个贷明细!$Q$8:$Q$666666&lt;(设置!$J$24+1))*(个贷明细!$R$8:$R$666666&gt;设置!$J$24)*(个贷明细!$T$8:$T$666666&gt;设置!$J$24)*(个贷明细!$N$8:$N$666666))+SUMPRODUCT((企贷明细!$M$8:$M$666666=A61)*(企贷明细!$Q$8:$Q$666666&lt;(设置!$J$24+1))*(企贷明细!$R$8:$R$666666&gt;设置!$J$24)*(企贷明细!$T$8:$T$666666=0)*(企贷明细!$N$8:$N$666666))+SUMPRODUCT((企贷明细!$M$8:$M$666666=A61)*(企贷明细!$Q$8:$Q$666666&lt;(设置!$J$24+1))*(企贷明细!$R$8:$R$666666&gt;设置!$J$24)*(企贷明细!$T$8:$T$666666&gt;设置!$J$24)*(企贷明细!$N$8:$N$666666))</f>
        <v>0</v>
      </c>
      <c r="N61" s="56">
        <f t="shared" si="29"/>
        <v>0</v>
      </c>
      <c r="O61" s="56">
        <f t="shared" si="30"/>
        <v>0</v>
      </c>
      <c r="P61" s="56">
        <f>'1季统计'!F61+'2季统计'!F61+'3季统计'!F61+F61</f>
        <v>0</v>
      </c>
      <c r="Q61" s="56">
        <f>'1季统计'!G61+'2季统计'!G61+'3季统计'!G61+G61</f>
        <v>0</v>
      </c>
      <c r="R61" s="56">
        <f>'1季统计'!H61+'2季统计'!H61+'3季统计'!H61+H61</f>
        <v>0</v>
      </c>
      <c r="S61" s="56">
        <f t="shared" si="31"/>
        <v>0</v>
      </c>
      <c r="T61" s="56">
        <f>'1季统计'!J61+'2季统计'!J61+'3季统计'!J61+J61</f>
        <v>0</v>
      </c>
      <c r="U61" s="56">
        <f>'1季统计'!K61+'2季统计'!K61+'3季统计'!K61+K61</f>
        <v>0</v>
      </c>
    </row>
    <row r="62" ht="14.25" spans="1:21">
      <c r="A62" s="68" t="str">
        <f>'1季统计'!A62</f>
        <v>其他银行</v>
      </c>
      <c r="B62" s="56">
        <f>SUMPRODUCT((个贷明细!$M$8:$M$666666=A62)*(个贷明细!$Q$8:$Q$666666&gt;=设置!$J$23)*(个贷明细!$Q$8:$Q$666666&lt;=设置!$J$24)*(个贷明细!$N$8:$N$666666))+SUMPRODUCT((企贷明细!$M$8:$M$666666=A62)*(企贷明细!$Q$8:$Q$666666&gt;=设置!$J$23)*(企贷明细!$Q$8:$Q$666666&lt;=设置!$J$24)*(企贷明细!$N$8:$N$666666))</f>
        <v>0</v>
      </c>
      <c r="C62" s="56">
        <f>SUMPRODUCT((个贷明细!$M$8:$M$666666=A62)*(个贷明细!$Q$8:$Q$666666&lt;(设置!$J$24+1))*(个贷明细!$R$8:$R$666666&gt;设置!$J$24)*(个贷明细!$T$8:$T$666666=0)*(个贷明细!$N$8:$N$666666))+SUMPRODUCT((个贷明细!$M$8:$M$666666=A62)*(个贷明细!$Q$8:$Q$666666&lt;(设置!$J$24+1))*(个贷明细!$R$8:$R$666666&gt;设置!$J$24)*(个贷明细!$T$8:$T$666666&gt;设置!$J$24)*(个贷明细!$N$8:$N$666666))+SUMPRODUCT((企贷明细!$M$8:$M$666666=A62)*(企贷明细!$Q$8:$Q$666666&lt;(设置!$J$24+1))*(企贷明细!$R$8:$R$666666&gt;设置!$J$24)*(企贷明细!$T$8:$T$666666=0)*(企贷明细!$N$8:$N$666666))+SUMPRODUCT((个贷明细!$M$8:$M$666666=A62)*(企贷明细!$Q$8:$Q$666666&lt;(设置!$J$24+1))*(企贷明细!$R$8:$R$666666&gt;设置!$J$24)*(企贷明细!$T$8:$T$666666&gt;设置!$J$24)*(企贷明细!$N$8:$N$666666))</f>
        <v>0</v>
      </c>
      <c r="D62" s="56">
        <f t="shared" si="26"/>
        <v>0</v>
      </c>
      <c r="E62" s="56">
        <f t="shared" si="27"/>
        <v>0</v>
      </c>
      <c r="F62" s="56">
        <f>SUMPRODUCT((个贷明细!$M$8:$M$666666=A62)*(个贷明细!$BC$8:$BC$666666))+SUMPRODUCT((企贷明细!$M$8:$M$666666=A62)*(企贷明细!$BI$8:$BI$666666))</f>
        <v>0</v>
      </c>
      <c r="G62" s="56">
        <f>SUMPRODUCT((个贷明细!$M$8:$M$666666=A62)*(个贷明细!$BD$8:$BD$666666))+SUMPRODUCT((企贷明细!$M$8:$M$666666=A62)*(企贷明细!$BJ$8:$BJ$666666))</f>
        <v>0</v>
      </c>
      <c r="H62" s="56">
        <f>SUMPRODUCT((个贷明细!$M$8:$M$666666=A62)*(个贷明细!$BE$8:$BE$666666))+SUMPRODUCT((企贷明细!$M$8:$M$666666=A62)*(企贷明细!$BK$8:$BK$666666))</f>
        <v>0</v>
      </c>
      <c r="I62" s="56">
        <f t="shared" si="28"/>
        <v>0</v>
      </c>
      <c r="J62" s="56">
        <f>SUMPRODUCT((企贷明细!$M$8:$M$666666=A62)*(企贷明细!$BL$8:$BL$666666))</f>
        <v>0</v>
      </c>
      <c r="K62" s="56">
        <f>SUMPRODUCT((个贷明细!$M$8:$M$666666=A62)*(个贷明细!$BG$8:$BG$666666))+SUMPRODUCT((企贷明细!$M$8:$M$666666=A62)*(企贷明细!$BM$8:$BM$666666))+SUMPRODUCT((企贷明细!$M$8:$M$666666=A62)*(企贷明细!$BO$8:$BO$666666))</f>
        <v>0</v>
      </c>
      <c r="L62" s="56">
        <f>SUMPRODUCT((个贷明细!$M$8:$M$666666=A62)*(个贷明细!$Q$8:$Q$666666&gt;=设置!$E$23)*(个贷明细!$Q$8:$Q$666666&lt;=设置!$J$24)*(个贷明细!$N$8:$N$666666))+SUMPRODUCT((企贷明细!$M$8:$M$666666=A62)*(企贷明细!$Q$8:$Q$666666&gt;=设置!$E$23)*(企贷明细!$Q$8:$Q$666666&lt;=设置!$J$24)*(企贷明细!$N$8:$N$666666))</f>
        <v>0</v>
      </c>
      <c r="M62" s="56">
        <f>SUMPRODUCT((个贷明细!$M$8:$M$666666=A62)*(个贷明细!$Q$8:$Q$666666&lt;(设置!$J$24+1))*(个贷明细!$R$8:$R$666666&gt;设置!$J$24)*(个贷明细!$T$8:$T$666666=0)*(个贷明细!$N$8:$N$666666))+SUMPRODUCT((个贷明细!$M$8:$M$666666=A62)*(个贷明细!$Q$8:$Q$666666&lt;(设置!$J$24+1))*(个贷明细!$R$8:$R$666666&gt;设置!$J$24)*(个贷明细!$T$8:$T$666666&gt;设置!$J$24)*(个贷明细!$N$8:$N$666666))+SUMPRODUCT((企贷明细!$M$8:$M$666666=A62)*(企贷明细!$Q$8:$Q$666666&lt;(设置!$J$24+1))*(企贷明细!$R$8:$R$666666&gt;设置!$J$24)*(企贷明细!$T$8:$T$666666=0)*(企贷明细!$N$8:$N$666666))+SUMPRODUCT((企贷明细!$M$8:$M$666666=A62)*(企贷明细!$Q$8:$Q$666666&lt;(设置!$J$24+1))*(企贷明细!$R$8:$R$666666&gt;设置!$J$24)*(企贷明细!$T$8:$T$666666&gt;设置!$J$24)*(企贷明细!$N$8:$N$666666))</f>
        <v>0</v>
      </c>
      <c r="N62" s="56">
        <f t="shared" si="29"/>
        <v>0</v>
      </c>
      <c r="O62" s="56">
        <f t="shared" si="30"/>
        <v>0</v>
      </c>
      <c r="P62" s="56">
        <f>'1季统计'!F62+'2季统计'!F62+'3季统计'!F62+F62</f>
        <v>0</v>
      </c>
      <c r="Q62" s="56">
        <f>'1季统计'!G62+'2季统计'!G62+'3季统计'!G62+G62</f>
        <v>0</v>
      </c>
      <c r="R62" s="56">
        <f>'1季统计'!H62+'2季统计'!H62+'3季统计'!H62+H62</f>
        <v>0</v>
      </c>
      <c r="S62" s="56">
        <f t="shared" si="31"/>
        <v>0</v>
      </c>
      <c r="T62" s="56">
        <f>'1季统计'!J62+'2季统计'!J62+'3季统计'!J62+J62</f>
        <v>0</v>
      </c>
      <c r="U62" s="56">
        <f>'1季统计'!K62+'2季统计'!K62+'3季统计'!K62+K62</f>
        <v>0</v>
      </c>
    </row>
    <row r="63" ht="14.25" spans="1:21">
      <c r="A63" s="68" t="str">
        <f>'1季统计'!A63</f>
        <v>其他银行2</v>
      </c>
      <c r="B63" s="56">
        <f>SUMPRODUCT((个贷明细!$M$8:$M$666666=A63)*(个贷明细!$Q$8:$Q$666666&gt;=设置!$J$23)*(个贷明细!$Q$8:$Q$666666&lt;=设置!$J$24)*(个贷明细!$N$8:$N$666666))+SUMPRODUCT((企贷明细!$M$8:$M$666666=A63)*(企贷明细!$Q$8:$Q$666666&gt;=设置!$J$23)*(企贷明细!$Q$8:$Q$666666&lt;=设置!$J$24)*(企贷明细!$N$8:$N$666666))</f>
        <v>0</v>
      </c>
      <c r="C63" s="56">
        <f>SUMPRODUCT((个贷明细!$M$8:$M$666666=A63)*(个贷明细!$Q$8:$Q$666666&lt;(设置!$J$24+1))*(个贷明细!$R$8:$R$666666&gt;设置!$J$24)*(个贷明细!$T$8:$T$666666=0)*(个贷明细!$N$8:$N$666666))+SUMPRODUCT((个贷明细!$M$8:$M$666666=A63)*(个贷明细!$Q$8:$Q$666666&lt;(设置!$J$24+1))*(个贷明细!$R$8:$R$666666&gt;设置!$J$24)*(个贷明细!$T$8:$T$666666&gt;设置!$J$24)*(个贷明细!$N$8:$N$666666))+SUMPRODUCT((企贷明细!$M$8:$M$666666=A63)*(企贷明细!$Q$8:$Q$666666&lt;(设置!$J$24+1))*(企贷明细!$R$8:$R$666666&gt;设置!$J$24)*(企贷明细!$T$8:$T$666666=0)*(企贷明细!$N$8:$N$666666))+SUMPRODUCT((个贷明细!$M$8:$M$666666=A63)*(企贷明细!$Q$8:$Q$666666&lt;(设置!$J$24+1))*(企贷明细!$R$8:$R$666666&gt;设置!$J$24)*(企贷明细!$T$8:$T$666666&gt;设置!$J$24)*(企贷明细!$N$8:$N$666666))</f>
        <v>0</v>
      </c>
      <c r="D63" s="56">
        <f t="shared" si="26"/>
        <v>0</v>
      </c>
      <c r="E63" s="56">
        <f t="shared" si="27"/>
        <v>0</v>
      </c>
      <c r="F63" s="56">
        <f>SUMPRODUCT((个贷明细!$M$8:$M$666666=A63)*(个贷明细!$BC$8:$BC$666666))+SUMPRODUCT((企贷明细!$M$8:$M$666666=A63)*(企贷明细!$BI$8:$BI$666666))</f>
        <v>0</v>
      </c>
      <c r="G63" s="56">
        <f>SUMPRODUCT((个贷明细!$M$8:$M$666666=A63)*(个贷明细!$BD$8:$BD$666666))+SUMPRODUCT((企贷明细!$M$8:$M$666666=A63)*(企贷明细!$BJ$8:$BJ$666666))</f>
        <v>0</v>
      </c>
      <c r="H63" s="56">
        <f>SUMPRODUCT((个贷明细!$M$8:$M$666666=A63)*(个贷明细!$BE$8:$BE$666666))+SUMPRODUCT((企贷明细!$M$8:$M$666666=A63)*(企贷明细!$BK$8:$BK$666666))</f>
        <v>0</v>
      </c>
      <c r="I63" s="56">
        <f t="shared" si="28"/>
        <v>0</v>
      </c>
      <c r="J63" s="56">
        <f>SUMPRODUCT((企贷明细!$M$8:$M$666666=A63)*(企贷明细!$BL$8:$BL$666666))</f>
        <v>0</v>
      </c>
      <c r="K63" s="56">
        <f>SUMPRODUCT((个贷明细!$M$8:$M$666666=A63)*(个贷明细!$BG$8:$BG$666666))+SUMPRODUCT((企贷明细!$M$8:$M$666666=A63)*(企贷明细!$BM$8:$BM$666666))+SUMPRODUCT((企贷明细!$M$8:$M$666666=A63)*(企贷明细!$BO$8:$BO$666666))</f>
        <v>0</v>
      </c>
      <c r="L63" s="56">
        <f>SUMPRODUCT((个贷明细!$M$8:$M$666666=A63)*(个贷明细!$Q$8:$Q$666666&gt;=设置!$E$23)*(个贷明细!$Q$8:$Q$666666&lt;=设置!$J$24)*(个贷明细!$N$8:$N$666666))+SUMPRODUCT((企贷明细!$M$8:$M$666666=A63)*(企贷明细!$Q$8:$Q$666666&gt;=设置!$E$23)*(企贷明细!$Q$8:$Q$666666&lt;=设置!$J$24)*(企贷明细!$N$8:$N$666666))</f>
        <v>0</v>
      </c>
      <c r="M63" s="56">
        <f>SUMPRODUCT((个贷明细!$M$8:$M$666666=A63)*(个贷明细!$Q$8:$Q$666666&lt;(设置!$J$24+1))*(个贷明细!$R$8:$R$666666&gt;设置!$J$24)*(个贷明细!$T$8:$T$666666=0)*(个贷明细!$N$8:$N$666666))+SUMPRODUCT((个贷明细!$M$8:$M$666666=A63)*(个贷明细!$Q$8:$Q$666666&lt;(设置!$J$24+1))*(个贷明细!$R$8:$R$666666&gt;设置!$J$24)*(个贷明细!$T$8:$T$666666&gt;设置!$J$24)*(个贷明细!$N$8:$N$666666))+SUMPRODUCT((企贷明细!$M$8:$M$666666=A63)*(企贷明细!$Q$8:$Q$666666&lt;(设置!$J$24+1))*(企贷明细!$R$8:$R$666666&gt;设置!$J$24)*(企贷明细!$T$8:$T$666666=0)*(企贷明细!$N$8:$N$666666))+SUMPRODUCT((企贷明细!$M$8:$M$666666=A63)*(企贷明细!$Q$8:$Q$666666&lt;(设置!$J$24+1))*(企贷明细!$R$8:$R$666666&gt;设置!$J$24)*(企贷明细!$T$8:$T$666666&gt;设置!$J$24)*(企贷明细!$N$8:$N$666666))</f>
        <v>0</v>
      </c>
      <c r="N63" s="56">
        <f t="shared" si="29"/>
        <v>0</v>
      </c>
      <c r="O63" s="56">
        <f t="shared" si="30"/>
        <v>0</v>
      </c>
      <c r="P63" s="56">
        <f>'1季统计'!F63+'2季统计'!F63+'3季统计'!F63+F63</f>
        <v>0</v>
      </c>
      <c r="Q63" s="56">
        <f>'1季统计'!G63+'2季统计'!G63+'3季统计'!G63+G63</f>
        <v>0</v>
      </c>
      <c r="R63" s="56">
        <f>'1季统计'!H63+'2季统计'!H63+'3季统计'!H63+H63</f>
        <v>0</v>
      </c>
      <c r="S63" s="56">
        <f t="shared" si="31"/>
        <v>0</v>
      </c>
      <c r="T63" s="56">
        <f>'1季统计'!J63+'2季统计'!J63+'3季统计'!J63+J63</f>
        <v>0</v>
      </c>
      <c r="U63" s="56">
        <f>'1季统计'!K63+'2季统计'!K63+'3季统计'!K63+K63</f>
        <v>0</v>
      </c>
    </row>
    <row r="64" ht="14.25" spans="1:21">
      <c r="A64" s="68" t="str">
        <f>'1季统计'!A64</f>
        <v>其他银行3</v>
      </c>
      <c r="B64" s="56">
        <f>SUMPRODUCT((个贷明细!$M$8:$M$666666=A64)*(个贷明细!$Q$8:$Q$666666&gt;=设置!$J$23)*(个贷明细!$Q$8:$Q$666666&lt;=设置!$J$24)*(个贷明细!$N$8:$N$666666))+SUMPRODUCT((企贷明细!$M$8:$M$666666=A64)*(企贷明细!$Q$8:$Q$666666&gt;=设置!$J$23)*(企贷明细!$Q$8:$Q$666666&lt;=设置!$J$24)*(企贷明细!$N$8:$N$666666))</f>
        <v>0</v>
      </c>
      <c r="C64" s="56">
        <f>SUMPRODUCT((个贷明细!$M$8:$M$666666=A64)*(个贷明细!$Q$8:$Q$666666&lt;(设置!$J$24+1))*(个贷明细!$R$8:$R$666666&gt;设置!$J$24)*(个贷明细!$T$8:$T$666666=0)*(个贷明细!$N$8:$N$666666))+SUMPRODUCT((个贷明细!$M$8:$M$666666=A64)*(个贷明细!$Q$8:$Q$666666&lt;(设置!$J$24+1))*(个贷明细!$R$8:$R$666666&gt;设置!$J$24)*(个贷明细!$T$8:$T$666666&gt;设置!$J$24)*(个贷明细!$N$8:$N$666666))+SUMPRODUCT((企贷明细!$M$8:$M$666666=A64)*(企贷明细!$Q$8:$Q$666666&lt;(设置!$J$24+1))*(企贷明细!$R$8:$R$666666&gt;设置!$J$24)*(企贷明细!$T$8:$T$666666=0)*(企贷明细!$N$8:$N$666666))+SUMPRODUCT((个贷明细!$M$8:$M$666666=A64)*(企贷明细!$Q$8:$Q$666666&lt;(设置!$J$24+1))*(企贷明细!$R$8:$R$666666&gt;设置!$J$24)*(企贷明细!$T$8:$T$666666&gt;设置!$J$24)*(企贷明细!$N$8:$N$666666))</f>
        <v>0</v>
      </c>
      <c r="D64" s="56">
        <f t="shared" si="26"/>
        <v>0</v>
      </c>
      <c r="E64" s="56">
        <f t="shared" si="27"/>
        <v>0</v>
      </c>
      <c r="F64" s="56">
        <f>SUMPRODUCT((个贷明细!$M$8:$M$666666=A64)*(个贷明细!$BC$8:$BC$666666))+SUMPRODUCT((企贷明细!$M$8:$M$666666=A64)*(企贷明细!$BI$8:$BI$666666))</f>
        <v>0</v>
      </c>
      <c r="G64" s="56">
        <f>SUMPRODUCT((个贷明细!$M$8:$M$666666=A64)*(个贷明细!$BD$8:$BD$666666))+SUMPRODUCT((企贷明细!$M$8:$M$666666=A64)*(企贷明细!$BJ$8:$BJ$666666))</f>
        <v>0</v>
      </c>
      <c r="H64" s="56">
        <f>SUMPRODUCT((个贷明细!$M$8:$M$666666=A64)*(个贷明细!$BE$8:$BE$666666))+SUMPRODUCT((企贷明细!$M$8:$M$666666=A64)*(企贷明细!$BK$8:$BK$666666))</f>
        <v>0</v>
      </c>
      <c r="I64" s="56">
        <f t="shared" si="28"/>
        <v>0</v>
      </c>
      <c r="J64" s="56">
        <f>SUMPRODUCT((企贷明细!$M$8:$M$666666=A64)*(企贷明细!$BL$8:$BL$666666))</f>
        <v>0</v>
      </c>
      <c r="K64" s="56">
        <f>SUMPRODUCT((个贷明细!$M$8:$M$666666=A64)*(个贷明细!$BG$8:$BG$666666))+SUMPRODUCT((企贷明细!$M$8:$M$666666=A64)*(企贷明细!$BM$8:$BM$666666))+SUMPRODUCT((企贷明细!$M$8:$M$666666=A64)*(企贷明细!$BO$8:$BO$666666))</f>
        <v>0</v>
      </c>
      <c r="L64" s="56">
        <f>SUMPRODUCT((个贷明细!$M$8:$M$666666=A64)*(个贷明细!$Q$8:$Q$666666&gt;=设置!$E$23)*(个贷明细!$Q$8:$Q$666666&lt;=设置!$J$24)*(个贷明细!$N$8:$N$666666))+SUMPRODUCT((企贷明细!$M$8:$M$666666=A64)*(企贷明细!$Q$8:$Q$666666&gt;=设置!$E$23)*(企贷明细!$Q$8:$Q$666666&lt;=设置!$J$24)*(企贷明细!$N$8:$N$666666))</f>
        <v>0</v>
      </c>
      <c r="M64" s="56">
        <f>SUMPRODUCT((个贷明细!$M$8:$M$666666=A64)*(个贷明细!$Q$8:$Q$666666&lt;(设置!$J$24+1))*(个贷明细!$R$8:$R$666666&gt;设置!$J$24)*(个贷明细!$T$8:$T$666666=0)*(个贷明细!$N$8:$N$666666))+SUMPRODUCT((个贷明细!$M$8:$M$666666=A64)*(个贷明细!$Q$8:$Q$666666&lt;(设置!$J$24+1))*(个贷明细!$R$8:$R$666666&gt;设置!$J$24)*(个贷明细!$T$8:$T$666666&gt;设置!$J$24)*(个贷明细!$N$8:$N$666666))+SUMPRODUCT((企贷明细!$M$8:$M$666666=A64)*(企贷明细!$Q$8:$Q$666666&lt;(设置!$J$24+1))*(企贷明细!$R$8:$R$666666&gt;设置!$J$24)*(企贷明细!$T$8:$T$666666=0)*(企贷明细!$N$8:$N$666666))+SUMPRODUCT((企贷明细!$M$8:$M$666666=A64)*(企贷明细!$Q$8:$Q$666666&lt;(设置!$J$24+1))*(企贷明细!$R$8:$R$666666&gt;设置!$J$24)*(企贷明细!$T$8:$T$666666&gt;设置!$J$24)*(企贷明细!$N$8:$N$666666))</f>
        <v>0</v>
      </c>
      <c r="N64" s="56">
        <f t="shared" si="29"/>
        <v>0</v>
      </c>
      <c r="O64" s="56">
        <f t="shared" si="30"/>
        <v>0</v>
      </c>
      <c r="P64" s="56">
        <f>'1季统计'!F64+'2季统计'!F64+'3季统计'!F64+F64</f>
        <v>0</v>
      </c>
      <c r="Q64" s="56">
        <f>'1季统计'!G64+'2季统计'!G64+'3季统计'!G64+G64</f>
        <v>0</v>
      </c>
      <c r="R64" s="56">
        <f>'1季统计'!H64+'2季统计'!H64+'3季统计'!H64+H64</f>
        <v>0</v>
      </c>
      <c r="S64" s="56">
        <f t="shared" si="31"/>
        <v>0</v>
      </c>
      <c r="T64" s="56">
        <f>'1季统计'!J64+'2季统计'!J64+'3季统计'!J64+J64</f>
        <v>0</v>
      </c>
      <c r="U64" s="56">
        <f>'1季统计'!K64+'2季统计'!K64+'3季统计'!K64+K64</f>
        <v>0</v>
      </c>
    </row>
  </sheetData>
  <sheetProtection password="CB92" sheet="1" formatColumns="0" objects="1"/>
  <mergeCells count="67">
    <mergeCell ref="B3:D3"/>
    <mergeCell ref="E3:M3"/>
    <mergeCell ref="N3:P3"/>
    <mergeCell ref="E4:G4"/>
    <mergeCell ref="H4:J4"/>
    <mergeCell ref="K4:M4"/>
    <mergeCell ref="B11:D11"/>
    <mergeCell ref="E11:M11"/>
    <mergeCell ref="E12:G12"/>
    <mergeCell ref="H12:J12"/>
    <mergeCell ref="K12:M12"/>
    <mergeCell ref="B19:W19"/>
    <mergeCell ref="B20:I20"/>
    <mergeCell ref="J20:O20"/>
    <mergeCell ref="P20:W20"/>
    <mergeCell ref="C21:F21"/>
    <mergeCell ref="G21:I21"/>
    <mergeCell ref="K21:N21"/>
    <mergeCell ref="Q21:T21"/>
    <mergeCell ref="U21:W21"/>
    <mergeCell ref="D31:K31"/>
    <mergeCell ref="N31:U31"/>
    <mergeCell ref="E32:H32"/>
    <mergeCell ref="I32:K32"/>
    <mergeCell ref="O32:R32"/>
    <mergeCell ref="S32:U32"/>
    <mergeCell ref="A3:A6"/>
    <mergeCell ref="A11:A14"/>
    <mergeCell ref="A19:A22"/>
    <mergeCell ref="A31:A33"/>
    <mergeCell ref="B4:B6"/>
    <mergeCell ref="B12:B14"/>
    <mergeCell ref="B21:B22"/>
    <mergeCell ref="B31:B33"/>
    <mergeCell ref="C4:C6"/>
    <mergeCell ref="C12:C14"/>
    <mergeCell ref="C31:C33"/>
    <mergeCell ref="D4:D6"/>
    <mergeCell ref="D12:D14"/>
    <mergeCell ref="D32:D33"/>
    <mergeCell ref="E5:E6"/>
    <mergeCell ref="E13:E14"/>
    <mergeCell ref="F5:F6"/>
    <mergeCell ref="F13:F14"/>
    <mergeCell ref="G5:G6"/>
    <mergeCell ref="G13:G14"/>
    <mergeCell ref="H5:H6"/>
    <mergeCell ref="H13:H14"/>
    <mergeCell ref="I5:I6"/>
    <mergeCell ref="I13:I14"/>
    <mergeCell ref="J5:J6"/>
    <mergeCell ref="J13:J14"/>
    <mergeCell ref="J21:J22"/>
    <mergeCell ref="K5:K6"/>
    <mergeCell ref="K13:K14"/>
    <mergeCell ref="L5:L6"/>
    <mergeCell ref="L13:L14"/>
    <mergeCell ref="L31:L33"/>
    <mergeCell ref="M5:M6"/>
    <mergeCell ref="M13:M14"/>
    <mergeCell ref="M31:M33"/>
    <mergeCell ref="N5:N6"/>
    <mergeCell ref="N32:N33"/>
    <mergeCell ref="O5:O6"/>
    <mergeCell ref="O21:O22"/>
    <mergeCell ref="P5:P6"/>
    <mergeCell ref="P21:P22"/>
  </mergeCells>
  <pageMargins left="0.751388888888889" right="0.751388888888889" top="1" bottom="1" header="0.5" footer="0.5"/>
  <pageSetup paperSize="9" scale="65" orientation="landscape" horizontalDpi="600"/>
  <headerFooter>
    <oddHeader>&amp;L内部资料，禁止外传</oddHeader>
  </headerFooter>
  <rowBreaks count="1" manualBreakCount="1">
    <brk id="2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46"/>
  <sheetViews>
    <sheetView showZeros="0" workbookViewId="0">
      <selection activeCell="A1" sqref="A1:H1"/>
    </sheetView>
  </sheetViews>
  <sheetFormatPr defaultColWidth="8.725" defaultRowHeight="13.5" outlineLevelCol="7"/>
  <cols>
    <col min="1" max="1" width="17.125" style="16" customWidth="1"/>
    <col min="2" max="7" width="15" style="16" customWidth="1"/>
    <col min="8" max="8" width="18.75" style="16" customWidth="1"/>
    <col min="9" max="16384" width="8.725" style="16"/>
  </cols>
  <sheetData>
    <row r="1" s="15" customFormat="1" ht="18.75" spans="1:8">
      <c r="A1" s="17" t="str">
        <f>设置!B22&amp;(IF(YEAR(设置!D23)&lt;2021/1/1,"0000",YEAR(设置!D23)))&amp;设置!C28&amp;设置!A25</f>
        <v>***市县2025年创业担保贷款奖补申报(审核)表</v>
      </c>
      <c r="B1" s="17"/>
      <c r="C1" s="17"/>
      <c r="D1" s="17"/>
      <c r="E1" s="17"/>
      <c r="F1" s="17"/>
      <c r="G1" s="17"/>
      <c r="H1" s="17"/>
    </row>
    <row r="2" ht="22" customHeight="1" spans="1:8">
      <c r="A2" s="16" t="s">
        <v>281</v>
      </c>
      <c r="B2" s="18">
        <f>DATE(YEAR(设置!D23)+1,MONTH(设置!D23)+1,DAY(设置!D23)+14)</f>
        <v>46068</v>
      </c>
      <c r="C2" s="19"/>
      <c r="D2" s="19"/>
      <c r="E2" s="19"/>
      <c r="F2" s="19"/>
      <c r="G2" s="19"/>
      <c r="H2" s="19"/>
    </row>
    <row r="3" ht="22" customHeight="1" spans="1:8">
      <c r="A3" s="16" t="s">
        <v>282</v>
      </c>
      <c r="B3" s="16" t="str">
        <f>设置!B22&amp;设置!B28</f>
        <v>***市县财政局</v>
      </c>
      <c r="H3" s="20" t="s">
        <v>283</v>
      </c>
    </row>
    <row r="4" ht="35" customHeight="1" spans="1:8">
      <c r="A4" s="21" t="s">
        <v>284</v>
      </c>
      <c r="B4" s="22" t="s">
        <v>285</v>
      </c>
      <c r="C4" s="22"/>
      <c r="D4" s="22" t="s">
        <v>286</v>
      </c>
      <c r="E4" s="22"/>
      <c r="F4" s="22" t="s">
        <v>287</v>
      </c>
      <c r="G4" s="22"/>
      <c r="H4" s="22" t="s">
        <v>288</v>
      </c>
    </row>
    <row r="5" ht="42" customHeight="1" spans="1:8">
      <c r="A5" s="21"/>
      <c r="B5" s="22" t="s">
        <v>289</v>
      </c>
      <c r="C5" s="22" t="s">
        <v>290</v>
      </c>
      <c r="D5" s="22" t="s">
        <v>289</v>
      </c>
      <c r="E5" s="22" t="s">
        <v>290</v>
      </c>
      <c r="F5" s="22" t="s">
        <v>289</v>
      </c>
      <c r="G5" s="22" t="s">
        <v>290</v>
      </c>
      <c r="H5" s="23"/>
    </row>
    <row r="6" ht="27" customHeight="1" spans="1:8">
      <c r="A6" s="24" t="s">
        <v>204</v>
      </c>
      <c r="B6" s="25">
        <f>'4季统计'!I7</f>
        <v>0</v>
      </c>
      <c r="C6" s="25">
        <f>'4季统计'!J7</f>
        <v>0</v>
      </c>
      <c r="D6" s="25">
        <f>SUM(B19:B30)/12</f>
        <v>0</v>
      </c>
      <c r="E6" s="25">
        <f>SUM(E19:E30)/12</f>
        <v>0</v>
      </c>
      <c r="F6" s="25">
        <f>'4季统计'!I15</f>
        <v>0</v>
      </c>
      <c r="G6" s="25">
        <f>'4季统计'!J15</f>
        <v>0</v>
      </c>
      <c r="H6" s="26"/>
    </row>
    <row r="7" ht="27" customHeight="1" spans="1:8">
      <c r="A7" s="24" t="s">
        <v>291</v>
      </c>
      <c r="B7" s="25">
        <f>'4季统计'!I8</f>
        <v>0</v>
      </c>
      <c r="C7" s="25">
        <f>'4季统计'!J8</f>
        <v>0</v>
      </c>
      <c r="D7" s="27">
        <f>SUM(C19:C30)/12</f>
        <v>0</v>
      </c>
      <c r="E7" s="27">
        <f>SUM(F19:F30)/12</f>
        <v>0</v>
      </c>
      <c r="F7" s="25">
        <f>'4季统计'!I16</f>
        <v>0</v>
      </c>
      <c r="G7" s="25">
        <f>'4季统计'!J16</f>
        <v>0</v>
      </c>
      <c r="H7" s="26"/>
    </row>
    <row r="8" ht="27" customHeight="1" spans="1:8">
      <c r="A8" s="24" t="s">
        <v>292</v>
      </c>
      <c r="B8" s="28">
        <f>'4季统计'!I9</f>
        <v>0</v>
      </c>
      <c r="C8" s="28">
        <f>'4季统计'!J9</f>
        <v>0</v>
      </c>
      <c r="D8" s="29">
        <f>SUM(D19:D30)/12</f>
        <v>0</v>
      </c>
      <c r="E8" s="29">
        <f>SUM(G19:G30)/12</f>
        <v>0</v>
      </c>
      <c r="F8" s="28">
        <f>'4季统计'!I17</f>
        <v>0</v>
      </c>
      <c r="G8" s="28">
        <f>'4季统计'!J17</f>
        <v>0</v>
      </c>
      <c r="H8" s="26"/>
    </row>
    <row r="9" ht="35" customHeight="1" spans="1:8">
      <c r="A9" s="21" t="s">
        <v>284</v>
      </c>
      <c r="B9" s="22" t="s">
        <v>293</v>
      </c>
      <c r="C9" s="22"/>
      <c r="D9" s="30" t="s">
        <v>294</v>
      </c>
      <c r="E9" s="30"/>
      <c r="F9" s="22" t="s">
        <v>295</v>
      </c>
      <c r="G9" s="22"/>
      <c r="H9" s="26"/>
    </row>
    <row r="10" ht="42" customHeight="1" spans="1:8">
      <c r="A10" s="21"/>
      <c r="B10" s="22" t="s">
        <v>289</v>
      </c>
      <c r="C10" s="22" t="s">
        <v>290</v>
      </c>
      <c r="D10" s="30" t="s">
        <v>289</v>
      </c>
      <c r="E10" s="30" t="s">
        <v>290</v>
      </c>
      <c r="F10" s="22" t="s">
        <v>289</v>
      </c>
      <c r="G10" s="22" t="s">
        <v>290</v>
      </c>
      <c r="H10" s="26"/>
    </row>
    <row r="11" ht="27" customHeight="1" spans="1:8">
      <c r="A11" s="24" t="s">
        <v>204</v>
      </c>
      <c r="B11" s="25">
        <f>'4季统计'!L7</f>
        <v>0</v>
      </c>
      <c r="C11" s="25">
        <f>'4季统计'!M7</f>
        <v>0</v>
      </c>
      <c r="D11" s="27">
        <f>SUM(B35:B46)/12</f>
        <v>0</v>
      </c>
      <c r="E11" s="27">
        <f>SUM(E35:E46)/12</f>
        <v>0</v>
      </c>
      <c r="F11" s="25">
        <f>'4季统计'!L15</f>
        <v>0</v>
      </c>
      <c r="G11" s="25">
        <f>'4季统计'!M15</f>
        <v>0</v>
      </c>
      <c r="H11" s="26"/>
    </row>
    <row r="12" ht="27" customHeight="1" spans="1:8">
      <c r="A12" s="24" t="s">
        <v>291</v>
      </c>
      <c r="B12" s="25">
        <f>'4季统计'!L8</f>
        <v>0</v>
      </c>
      <c r="C12" s="25">
        <f>'4季统计'!M8</f>
        <v>0</v>
      </c>
      <c r="D12" s="27">
        <f>SUM(C35:C46)/12</f>
        <v>0</v>
      </c>
      <c r="E12" s="27">
        <f>SUM(F35:F46)/12</f>
        <v>0</v>
      </c>
      <c r="F12" s="25">
        <f>'4季统计'!L16</f>
        <v>0</v>
      </c>
      <c r="G12" s="25">
        <f>'4季统计'!M16</f>
        <v>0</v>
      </c>
      <c r="H12" s="26"/>
    </row>
    <row r="13" ht="27" customHeight="1" spans="1:8">
      <c r="A13" s="24" t="s">
        <v>292</v>
      </c>
      <c r="B13" s="28">
        <f>'4季统计'!L9</f>
        <v>0</v>
      </c>
      <c r="C13" s="28">
        <f>'4季统计'!M9</f>
        <v>0</v>
      </c>
      <c r="D13" s="29">
        <f>SUM(D35:D46)/12</f>
        <v>0</v>
      </c>
      <c r="E13" s="29">
        <f>SUM(G35:G46)/12</f>
        <v>0</v>
      </c>
      <c r="F13" s="28">
        <f>'4季统计'!L17</f>
        <v>0</v>
      </c>
      <c r="G13" s="28">
        <f>'4季统计'!M17</f>
        <v>0</v>
      </c>
      <c r="H13" s="31"/>
    </row>
    <row r="14" spans="4:6">
      <c r="D14" s="32"/>
      <c r="E14" s="32"/>
      <c r="F14" s="32"/>
    </row>
    <row r="15" ht="18.75" spans="1:5">
      <c r="A15" s="33" t="str">
        <f>设置!B22&amp;(IF(YEAR(设置!D23)&lt;2021/1/1,"0000",YEAR(设置!D23)))&amp;设置!C28&amp;设置!A26</f>
        <v>***市县2025年创业担保贷款月末余额统计表</v>
      </c>
      <c r="E15" s="32"/>
    </row>
    <row r="16" spans="1:7">
      <c r="A16" s="34" t="s">
        <v>284</v>
      </c>
      <c r="B16" s="21" t="s">
        <v>111</v>
      </c>
      <c r="C16" s="21"/>
      <c r="D16" s="21"/>
      <c r="E16" s="21"/>
      <c r="F16" s="21"/>
      <c r="G16" s="21"/>
    </row>
    <row r="17" spans="1:7">
      <c r="A17" s="35"/>
      <c r="B17" s="21" t="s">
        <v>189</v>
      </c>
      <c r="C17" s="21"/>
      <c r="D17" s="21"/>
      <c r="E17" s="21" t="s">
        <v>296</v>
      </c>
      <c r="F17" s="21"/>
      <c r="G17" s="21"/>
    </row>
    <row r="18" spans="1:7">
      <c r="A18" s="36"/>
      <c r="B18" s="21" t="s">
        <v>204</v>
      </c>
      <c r="C18" s="21" t="s">
        <v>236</v>
      </c>
      <c r="D18" s="21" t="s">
        <v>237</v>
      </c>
      <c r="E18" s="21" t="s">
        <v>204</v>
      </c>
      <c r="F18" s="21" t="s">
        <v>236</v>
      </c>
      <c r="G18" s="21" t="s">
        <v>237</v>
      </c>
    </row>
    <row r="19" spans="1:7">
      <c r="A19" s="37" t="s">
        <v>297</v>
      </c>
      <c r="B19" s="25">
        <f>SUMPRODUCT((个贷明细!$Q$8:$Q$666666&lt;DATE(YEAR(设置!$D$23),MONTH(设置!$D$23)+1,DAY(设置!$D$23)))*(个贷明细!$R$8:$R$666666&gt;(DATE(YEAR(设置!$D$23),MONTH(设置!$D$23)+1,DAY(设置!$D$23))-1))*(个贷明细!$T$8:$T$666666=0)*(个贷明细!$AA$8:$AA$666666))+SUMPRODUCT(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A$8:$AA$666666))</f>
        <v>0</v>
      </c>
      <c r="C19" s="38">
        <f>SUMPRODUCT((个贷明细!$Q$8:$Q$666666&gt;=设置!$J$23)*(个贷明细!$Q$8:$Q$666666&lt;DATE(YEAR(设置!$D$23),MONTH(设置!$D$23)+1,DAY(设置!$D$23)))*(个贷明细!$R$8:$R$666666&gt;(DATE(YEAR(设置!$D$23),MONTH(设置!$D$23)+1,DAY(设置!$D$23))-1))*(个贷明细!$T$8:$T$666666=0)*(个贷明细!$AA$8:$AA$666666))+SUMPRODUCT((个贷明细!$Q$8:$Q$666666&gt;=设置!$J$23)*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A$8:$AA$666666))</f>
        <v>0</v>
      </c>
      <c r="D19" s="38">
        <f>SUMPRODUCT((个贷明细!$Q$8:$Q$666666&lt;设置!$J$23)*(个贷明细!$Q$8:$Q$666666&lt;DATE(YEAR(设置!$D$23),MONTH(设置!$D$23)+1,DAY(设置!$D$23)))*(个贷明细!$R$8:$R$666666&gt;(DATE(YEAR(设置!$D$23),MONTH(设置!$D$23)+1,DAY(设置!$D$23))-1))*(个贷明细!$T$8:$T$666666=0)*(个贷明细!$AA$8:$AA$666666))+SUMPRODUCT((个贷明细!$Q$8:$Q$666666&lt;设置!$J$23)*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A$8:$AA$666666))</f>
        <v>0</v>
      </c>
      <c r="E19" s="38">
        <f>SUMPRODUCT((个贷明细!$Q$8:$Q$666666&lt;DATE(YEAR(设置!$D$23),MONTH(设置!$D$23)+1,DAY(设置!$D$23)))*(个贷明细!$R$8:$R$666666&gt;(DATE(YEAR(设置!$D$23),MONTH(设置!$D$23)+1,DAY(设置!$D$23))-1))*(个贷明细!$T$8:$T$666666=0)*(个贷明细!$AB$8:$AB$666666))+SUMPRODUCT(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B$8:$AB$666666))</f>
        <v>0</v>
      </c>
      <c r="F19" s="38">
        <f>SUMPRODUCT((个贷明细!$Q$8:$Q$666666&gt;=设置!$J$23)*(个贷明细!$Q$8:$Q$666666&lt;DATE(YEAR(设置!$D$23),MONTH(设置!$D$23)+1,DAY(设置!$D$23)))*(个贷明细!$R$8:$R$666666&gt;(DATE(YEAR(设置!$D$23),MONTH(设置!$D$23)+1,DAY(设置!$D$23))-1))*(个贷明细!$T$8:$T$666666=0)*(个贷明细!$AB$8:$AB$666666))+SUMPRODUCT((个贷明细!$Q$8:$Q$666666&gt;=设置!$J$23)*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B$8:$AB$666666))</f>
        <v>0</v>
      </c>
      <c r="G19" s="38">
        <f>SUMPRODUCT((个贷明细!$Q$8:$Q$666666&lt;设置!$J$23)*(个贷明细!$Q$8:$Q$666666&lt;DATE(YEAR(设置!$D$23),MONTH(设置!$D$23)+1,DAY(设置!$D$23)))*(个贷明细!$R$8:$R$666666&gt;(DATE(YEAR(设置!$D$23),MONTH(设置!$D$23)+1,DAY(设置!$D$23))-1))*(个贷明细!$T$8:$T$666666=0)*(个贷明细!$AB$8:$AB$666666))+SUMPRODUCT((个贷明细!$Q$8:$Q$666666&lt;设置!$J$23)*(个贷明细!$Q$8:$Q$666666&lt;DATE(YEAR(设置!$D$23),MONTH(设置!$D$23)+1,DAY(设置!$D$23)))*(个贷明细!$R$8:$R$666666&gt;(DATE(YEAR(设置!$D$23),MONTH(设置!$D$23)+1,DAY(设置!$D$23))-1))*(个贷明细!$T$8:$T$666666&gt;(DATE(YEAR(设置!$D$23),MONTH(设置!$D$23)+1,DAY(设置!$D$23))-1))*(个贷明细!$AB$8:$AB$666666))</f>
        <v>0</v>
      </c>
    </row>
    <row r="20" spans="1:7">
      <c r="A20" s="37" t="s">
        <v>298</v>
      </c>
      <c r="B20" s="25">
        <f>SUMPRODUCT((个贷明细!$Q$8:$Q$666666&lt;DATE(YEAR(设置!$D$23),MONTH(设置!$D$23)+2,DAY(设置!$D$23)))*(个贷明细!$R$8:$R$666666&gt;(DATE(YEAR(设置!$D$23),MONTH(设置!$D$23)+2,DAY(设置!$D$23))-1))*(个贷明细!$T$8:$T$666666=0)*(个贷明细!$AA$8:$AA$666666))+SUMPRODUCT(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A$8:$AA$666666))</f>
        <v>0</v>
      </c>
      <c r="C20" s="38">
        <f>SUMPRODUCT((个贷明细!$Q$8:$Q$666666&gt;=设置!$J$23)*(个贷明细!$Q$8:$Q$666666&lt;DATE(YEAR(设置!$D$23),MONTH(设置!$D$23)+2,DAY(设置!$D$23)))*(个贷明细!$R$8:$R$666666&gt;(DATE(YEAR(设置!$D$23),MONTH(设置!$D$23)+2,DAY(设置!$D$23))-1))*(个贷明细!$T$8:$T$666666=0)*(个贷明细!$AA$8:$AA$666666))+SUMPRODUCT((个贷明细!$Q$8:$Q$666666&gt;=设置!$J$23)*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A$8:$AA$666666))</f>
        <v>0</v>
      </c>
      <c r="D20" s="38">
        <f>SUMPRODUCT((个贷明细!$Q$8:$Q$666666&lt;设置!$J$23)*(个贷明细!$Q$8:$Q$666666&lt;DATE(YEAR(设置!$D$23),MONTH(设置!$D$23)+2,DAY(设置!$D$23)))*(个贷明细!$R$8:$R$666666&gt;(DATE(YEAR(设置!$D$23),MONTH(设置!$D$23)+2,DAY(设置!$D$23))-1))*(个贷明细!$T$8:$T$666666=0)*(个贷明细!$AA$8:$AA$666666))+SUMPRODUCT((个贷明细!$Q$8:$Q$666666&lt;设置!$J$23)*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A$8:$AA$666666))</f>
        <v>0</v>
      </c>
      <c r="E20" s="38">
        <f>SUMPRODUCT((个贷明细!$Q$8:$Q$666666&lt;DATE(YEAR(设置!$D$23),MONTH(设置!$D$23)+2,DAY(设置!$D$23)))*(个贷明细!$R$8:$R$666666&gt;(DATE(YEAR(设置!$D$23),MONTH(设置!$D$23)+2,DAY(设置!$D$23))-1))*(个贷明细!$T$8:$T$666666=0)*(个贷明细!$AB$8:$AB$666666))+SUMPRODUCT(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B$8:$AB$666666))</f>
        <v>0</v>
      </c>
      <c r="F20" s="38">
        <f>SUMPRODUCT((个贷明细!$Q$8:$Q$666666&gt;=设置!$J$23)*(个贷明细!$Q$8:$Q$666666&lt;DATE(YEAR(设置!$D$23),MONTH(设置!$D$23)+2,DAY(设置!$D$23)))*(个贷明细!$R$8:$R$666666&gt;(DATE(YEAR(设置!$D$23),MONTH(设置!$D$23)+2,DAY(设置!$D$23))-1))*(个贷明细!$T$8:$T$666666=0)*(个贷明细!$AB$8:$AB$666666))+SUMPRODUCT((个贷明细!$Q$8:$Q$666666&gt;=设置!$J$23)*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B$8:$AB$666666))</f>
        <v>0</v>
      </c>
      <c r="G20" s="38">
        <f>SUMPRODUCT((个贷明细!$Q$8:$Q$666666&lt;设置!$J$23)*(个贷明细!$Q$8:$Q$666666&lt;DATE(YEAR(设置!$D$23),MONTH(设置!$D$23)+2,DAY(设置!$D$23)))*(个贷明细!$R$8:$R$666666&gt;(DATE(YEAR(设置!$D$23),MONTH(设置!$D$23)+2,DAY(设置!$D$23))-1))*(个贷明细!$T$8:$T$666666=0)*(个贷明细!$AB$8:$AB$666666))+SUMPRODUCT((个贷明细!$Q$8:$Q$666666&lt;设置!$J$23)*(个贷明细!$Q$8:$Q$666666&lt;DATE(YEAR(设置!$D$23),MONTH(设置!$D$23)+2,DAY(设置!$D$23)))*(个贷明细!$R$8:$R$666666&gt;(DATE(YEAR(设置!$D$23),MONTH(设置!$D$23)+2,DAY(设置!$D$23))-1))*(个贷明细!$T$8:$T$666666&gt;(DATE(YEAR(设置!$D$23),MONTH(设置!$D$23)+2,DAY(设置!$D$23))-1))*(个贷明细!$AB$8:$AB$666666))</f>
        <v>0</v>
      </c>
    </row>
    <row r="21" spans="1:7">
      <c r="A21" s="37" t="s">
        <v>299</v>
      </c>
      <c r="B21" s="25">
        <f>SUMPRODUCT((个贷明细!$Q$8:$Q$666666&lt;DATE(YEAR(设置!$D$23),MONTH(设置!$D$23)+3,DAY(设置!$D$23)))*(个贷明细!$R$8:$R$666666&gt;(DATE(YEAR(设置!$D$23),MONTH(设置!$D$23)+3,DAY(设置!$D$23))-1))*(个贷明细!$T$8:$T$666666=0)*(个贷明细!$AA$8:$AA$666666))+SUMPRODUCT(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A$8:$AA$666666))</f>
        <v>0</v>
      </c>
      <c r="C21" s="38">
        <f>SUMPRODUCT((个贷明细!$Q$8:$Q$666666&gt;=设置!$J$23)*(个贷明细!$Q$8:$Q$666666&lt;DATE(YEAR(设置!$D$23),MONTH(设置!$D$23)+3,DAY(设置!$D$23)))*(个贷明细!$R$8:$R$666666&gt;(DATE(YEAR(设置!$D$23),MONTH(设置!$D$23)+3,DAY(设置!$D$23))-1))*(个贷明细!$T$8:$T$666666=0)*(个贷明细!$AA$8:$AA$666666))+SUMPRODUCT((个贷明细!$Q$8:$Q$666666&gt;=设置!$J$23)*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A$8:$AA$666666))</f>
        <v>0</v>
      </c>
      <c r="D21" s="38">
        <f>SUMPRODUCT((个贷明细!$Q$8:$Q$666666&lt;设置!$J$23)*(个贷明细!$Q$8:$Q$666666&lt;DATE(YEAR(设置!$D$23),MONTH(设置!$D$23)+3,DAY(设置!$D$23)))*(个贷明细!$R$8:$R$666666&gt;(DATE(YEAR(设置!$D$23),MONTH(设置!$D$23)+3,DAY(设置!$D$23))-1))*(个贷明细!$T$8:$T$666666=0)*(个贷明细!$AA$8:$AA$666666))+SUMPRODUCT((个贷明细!$Q$8:$Q$666666&lt;设置!$J$23)*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A$8:$AA$666666))</f>
        <v>0</v>
      </c>
      <c r="E21" s="38">
        <f>SUMPRODUCT((个贷明细!$Q$8:$Q$666666&lt;DATE(YEAR(设置!$D$23),MONTH(设置!$D$23)+3,DAY(设置!$D$23)))*(个贷明细!$R$8:$R$666666&gt;(DATE(YEAR(设置!$D$23),MONTH(设置!$D$23)+3,DAY(设置!$D$23))-1))*(个贷明细!$T$8:$T$666666=0)*(个贷明细!$AB$8:$AB$666666))+SUMPRODUCT(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B$8:$AB$666666))</f>
        <v>0</v>
      </c>
      <c r="F21" s="38">
        <f>SUMPRODUCT((个贷明细!$Q$8:$Q$666666&gt;=设置!$J$23)*(个贷明细!$Q$8:$Q$666666&lt;DATE(YEAR(设置!$D$23),MONTH(设置!$D$23)+3,DAY(设置!$D$23)))*(个贷明细!$R$8:$R$666666&gt;(DATE(YEAR(设置!$D$23),MONTH(设置!$D$23)+3,DAY(设置!$D$23))-1))*(个贷明细!$T$8:$T$666666=0)*(个贷明细!$AB$8:$AB$666666))+SUMPRODUCT((个贷明细!$Q$8:$Q$666666&gt;=设置!$J$23)*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B$8:$AB$666666))</f>
        <v>0</v>
      </c>
      <c r="G21" s="38">
        <f>SUMPRODUCT((个贷明细!$Q$8:$Q$666666&lt;设置!$J$23)*(个贷明细!$Q$8:$Q$666666&lt;DATE(YEAR(设置!$D$23),MONTH(设置!$D$23)+3,DAY(设置!$D$23)))*(个贷明细!$R$8:$R$666666&gt;(DATE(YEAR(设置!$D$23),MONTH(设置!$D$23)+3,DAY(设置!$D$23))-1))*(个贷明细!$T$8:$T$666666=0)*(个贷明细!$AB$8:$AB$666666))+SUMPRODUCT((个贷明细!$Q$8:$Q$666666&lt;设置!$J$23)*(个贷明细!$Q$8:$Q$666666&lt;DATE(YEAR(设置!$D$23),MONTH(设置!$D$23)+3,DAY(设置!$D$23)))*(个贷明细!$R$8:$R$666666&gt;(DATE(YEAR(设置!$D$23),MONTH(设置!$D$23)+3,DAY(设置!$D$23))-1))*(个贷明细!$T$8:$T$666666&gt;(DATE(YEAR(设置!$D$23),MONTH(设置!$D$23)+3,DAY(设置!$D$23))-1))*(个贷明细!$AB$8:$AB$666666))</f>
        <v>0</v>
      </c>
    </row>
    <row r="22" spans="1:7">
      <c r="A22" s="37" t="s">
        <v>300</v>
      </c>
      <c r="B22" s="25">
        <f>SUMPRODUCT((个贷明细!$Q$8:$Q$666666&lt;DATE(YEAR(设置!$D$23),MONTH(设置!$D$23)+4,DAY(设置!$D$23)))*(个贷明细!$R$8:$R$666666&gt;(DATE(YEAR(设置!$D$23),MONTH(设置!$D$23)+4,DAY(设置!$D$23))-1))*(个贷明细!$T$8:$T$666666=0)*(个贷明细!$AA$8:$AA$666666))+SUMPRODUCT(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A$8:$AA$666666))</f>
        <v>0</v>
      </c>
      <c r="C22" s="38">
        <f>SUMPRODUCT((个贷明细!$Q$8:$Q$666666&gt;=设置!$J$23)*(个贷明细!$Q$8:$Q$666666&lt;DATE(YEAR(设置!$D$23),MONTH(设置!$D$23)+4,DAY(设置!$D$23)))*(个贷明细!$R$8:$R$666666&gt;(DATE(YEAR(设置!$D$23),MONTH(设置!$D$23)+4,DAY(设置!$D$23))-1))*(个贷明细!$T$8:$T$666666=0)*(个贷明细!$AA$8:$AA$666666))+SUMPRODUCT((个贷明细!$Q$8:$Q$666666&gt;=设置!$J$23)*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A$8:$AA$666666))</f>
        <v>0</v>
      </c>
      <c r="D22" s="38">
        <f>SUMPRODUCT((个贷明细!$Q$8:$Q$666666&lt;设置!$J$23)*(个贷明细!$Q$8:$Q$666666&lt;DATE(YEAR(设置!$D$23),MONTH(设置!$D$23)+4,DAY(设置!$D$23)))*(个贷明细!$R$8:$R$666666&gt;(DATE(YEAR(设置!$D$23),MONTH(设置!$D$23)+4,DAY(设置!$D$23))-1))*(个贷明细!$T$8:$T$666666=0)*(个贷明细!$AA$8:$AA$666666))+SUMPRODUCT((个贷明细!$Q$8:$Q$666666&lt;设置!$J$23)*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A$8:$AA$666666))</f>
        <v>0</v>
      </c>
      <c r="E22" s="38">
        <f>SUMPRODUCT((个贷明细!$Q$8:$Q$666666&lt;DATE(YEAR(设置!$D$23),MONTH(设置!$D$23)+4,DAY(设置!$D$23)))*(个贷明细!$R$8:$R$666666&gt;(DATE(YEAR(设置!$D$23),MONTH(设置!$D$23)+4,DAY(设置!$D$23))-1))*(个贷明细!$T$8:$T$666666=0)*(个贷明细!$AB$8:$AB$666666))+SUMPRODUCT(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B$8:$AB$666666))</f>
        <v>0</v>
      </c>
      <c r="F22" s="38">
        <f>SUMPRODUCT((个贷明细!$Q$8:$Q$666666&gt;=设置!$J$23)*(个贷明细!$Q$8:$Q$666666&lt;DATE(YEAR(设置!$D$23),MONTH(设置!$D$23)+4,DAY(设置!$D$23)))*(个贷明细!$R$8:$R$666666&gt;(DATE(YEAR(设置!$D$23),MONTH(设置!$D$23)+4,DAY(设置!$D$23))-1))*(个贷明细!$T$8:$T$666666=0)*(个贷明细!$AB$8:$AB$666666))+SUMPRODUCT((个贷明细!$Q$8:$Q$666666&gt;=设置!$J$23)*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B$8:$AB$666666))</f>
        <v>0</v>
      </c>
      <c r="G22" s="38">
        <f>SUMPRODUCT((个贷明细!$Q$8:$Q$666666&lt;设置!$J$23)*(个贷明细!$Q$8:$Q$666666&lt;DATE(YEAR(设置!$D$23),MONTH(设置!$D$23)+4,DAY(设置!$D$23)))*(个贷明细!$R$8:$R$666666&gt;(DATE(YEAR(设置!$D$23),MONTH(设置!$D$23)+4,DAY(设置!$D$23))-1))*(个贷明细!$T$8:$T$666666=0)*(个贷明细!$AB$8:$AB$666666))+SUMPRODUCT((个贷明细!$Q$8:$Q$666666&lt;设置!$J$23)*(个贷明细!$Q$8:$Q$666666&lt;DATE(YEAR(设置!$D$23),MONTH(设置!$D$23)+4,DAY(设置!$D$23)))*(个贷明细!$R$8:$R$666666&gt;(DATE(YEAR(设置!$D$23),MONTH(设置!$D$23)+4,DAY(设置!$D$23))-1))*(个贷明细!$T$8:$T$666666&gt;(DATE(YEAR(设置!$D$23),MONTH(设置!$D$23)+4,DAY(设置!$D$23))-1))*(个贷明细!$AB$8:$AB$666666))</f>
        <v>0</v>
      </c>
    </row>
    <row r="23" spans="1:7">
      <c r="A23" s="37" t="s">
        <v>301</v>
      </c>
      <c r="B23" s="25">
        <f>SUMPRODUCT((个贷明细!$Q$8:$Q$666666&lt;DATE(YEAR(设置!$D$23),MONTH(设置!$D$23)+5,DAY(设置!$D$23)))*(个贷明细!$R$8:$R$666666&gt;(DATE(YEAR(设置!$D$23),MONTH(设置!$D$23)+5,DAY(设置!$D$23))-1))*(个贷明细!$T$8:$T$666666=0)*(个贷明细!$AA$8:$AA$666666))+SUMPRODUCT(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A$8:$AA$666666))</f>
        <v>0</v>
      </c>
      <c r="C23" s="38">
        <f>SUMPRODUCT((个贷明细!$Q$8:$Q$666666&gt;=设置!$J$23)*(个贷明细!$Q$8:$Q$666666&lt;DATE(YEAR(设置!$D$23),MONTH(设置!$D$23)+5,DAY(设置!$D$23)))*(个贷明细!$R$8:$R$666666&gt;(DATE(YEAR(设置!$D$23),MONTH(设置!$D$23)+5,DAY(设置!$D$23))-1))*(个贷明细!$T$8:$T$666666=0)*(个贷明细!$AA$8:$AA$666666))+SUMPRODUCT((个贷明细!$Q$8:$Q$666666&gt;=设置!$J$23)*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A$8:$AA$666666))</f>
        <v>0</v>
      </c>
      <c r="D23" s="38">
        <f>SUMPRODUCT((个贷明细!$Q$8:$Q$666666&lt;设置!$J$23)*(个贷明细!$Q$8:$Q$666666&lt;DATE(YEAR(设置!$D$23),MONTH(设置!$D$23)+5,DAY(设置!$D$23)))*(个贷明细!$R$8:$R$666666&gt;(DATE(YEAR(设置!$D$23),MONTH(设置!$D$23)+5,DAY(设置!$D$23))-1))*(个贷明细!$T$8:$T$666666=0)*(个贷明细!$AA$8:$AA$666666))+SUMPRODUCT((个贷明细!$Q$8:$Q$666666&lt;设置!$J$23)*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A$8:$AA$666666))</f>
        <v>0</v>
      </c>
      <c r="E23" s="38">
        <f>SUMPRODUCT((个贷明细!$Q$8:$Q$666666&lt;DATE(YEAR(设置!$D$23),MONTH(设置!$D$23)+5,DAY(设置!$D$23)))*(个贷明细!$R$8:$R$666666&gt;(DATE(YEAR(设置!$D$23),MONTH(设置!$D$23)+5,DAY(设置!$D$23))-1))*(个贷明细!$T$8:$T$666666=0)*(个贷明细!$AB$8:$AB$666666))+SUMPRODUCT(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B$8:$AB$666666))</f>
        <v>0</v>
      </c>
      <c r="F23" s="38">
        <f>SUMPRODUCT((个贷明细!$Q$8:$Q$666666&gt;=设置!$J$23)*(个贷明细!$Q$8:$Q$666666&lt;DATE(YEAR(设置!$D$23),MONTH(设置!$D$23)+5,DAY(设置!$D$23)))*(个贷明细!$R$8:$R$666666&gt;(DATE(YEAR(设置!$D$23),MONTH(设置!$D$23)+5,DAY(设置!$D$23))-1))*(个贷明细!$T$8:$T$666666=0)*(个贷明细!$AB$8:$AB$666666))+SUMPRODUCT((个贷明细!$Q$8:$Q$666666&gt;=设置!$J$23)*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B$8:$AB$666666))</f>
        <v>0</v>
      </c>
      <c r="G23" s="38">
        <f>SUMPRODUCT((个贷明细!$Q$8:$Q$666666&lt;设置!$J$23)*(个贷明细!$Q$8:$Q$666666&lt;DATE(YEAR(设置!$D$23),MONTH(设置!$D$23)+5,DAY(设置!$D$23)))*(个贷明细!$R$8:$R$666666&gt;(DATE(YEAR(设置!$D$23),MONTH(设置!$D$23)+5,DAY(设置!$D$23))-1))*(个贷明细!$T$8:$T$666666=0)*(个贷明细!$AB$8:$AB$666666))+SUMPRODUCT((个贷明细!$Q$8:$Q$666666&lt;设置!$J$23)*(个贷明细!$Q$8:$Q$666666&lt;DATE(YEAR(设置!$D$23),MONTH(设置!$D$23)+5,DAY(设置!$D$23)))*(个贷明细!$R$8:$R$666666&gt;(DATE(YEAR(设置!$D$23),MONTH(设置!$D$23)+5,DAY(设置!$D$23))-1))*(个贷明细!$T$8:$T$666666&gt;(DATE(YEAR(设置!$D$23),MONTH(设置!$D$23)+5,DAY(设置!$D$23))-1))*(个贷明细!$AB$8:$AB$666666))</f>
        <v>0</v>
      </c>
    </row>
    <row r="24" spans="1:7">
      <c r="A24" s="37" t="s">
        <v>302</v>
      </c>
      <c r="B24" s="25">
        <f>SUMPRODUCT((个贷明细!$Q$8:$Q$666666&lt;DATE(YEAR(设置!$D$23),MONTH(设置!$D$23)+6,DAY(设置!$D$23)))*(个贷明细!$R$8:$R$666666&gt;(DATE(YEAR(设置!$D$23),MONTH(设置!$D$23)+6,DAY(设置!$D$23))-1))*(个贷明细!$T$8:$T$666666=0)*(个贷明细!$AA$8:$AA$666666))+SUMPRODUCT(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A$8:$AA$666666))</f>
        <v>0</v>
      </c>
      <c r="C24" s="38">
        <f>SUMPRODUCT((个贷明细!$Q$8:$Q$666666&gt;=设置!$J$23)*(个贷明细!$Q$8:$Q$666666&lt;DATE(YEAR(设置!$D$23),MONTH(设置!$D$23)+6,DAY(设置!$D$23)))*(个贷明细!$R$8:$R$666666&gt;(DATE(YEAR(设置!$D$23),MONTH(设置!$D$23)+6,DAY(设置!$D$23))-1))*(个贷明细!$T$8:$T$666666=0)*(个贷明细!$AA$8:$AA$666666))+SUMPRODUCT((个贷明细!$Q$8:$Q$666666&gt;=设置!$J$23)*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A$8:$AA$666666))</f>
        <v>0</v>
      </c>
      <c r="D24" s="38">
        <f>SUMPRODUCT((个贷明细!$Q$8:$Q$666666&lt;设置!$J$23)*(个贷明细!$Q$8:$Q$666666&lt;DATE(YEAR(设置!$D$23),MONTH(设置!$D$23)+6,DAY(设置!$D$23)))*(个贷明细!$R$8:$R$666666&gt;(DATE(YEAR(设置!$D$23),MONTH(设置!$D$23)+6,DAY(设置!$D$23))-1))*(个贷明细!$T$8:$T$666666=0)*(个贷明细!$AA$8:$AA$666666))+SUMPRODUCT((个贷明细!$Q$8:$Q$666666&lt;设置!$J$23)*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A$8:$AA$666666))</f>
        <v>0</v>
      </c>
      <c r="E24" s="38">
        <f>SUMPRODUCT((个贷明细!$Q$8:$Q$666666&lt;DATE(YEAR(设置!$D$23),MONTH(设置!$D$23)+6,DAY(设置!$D$23)))*(个贷明细!$R$8:$R$666666&gt;(DATE(YEAR(设置!$D$23),MONTH(设置!$D$23)+6,DAY(设置!$D$23))-1))*(个贷明细!$T$8:$T$666666=0)*(个贷明细!$AB$8:$AB$666666))+SUMPRODUCT(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B$8:$AB$666666))</f>
        <v>0</v>
      </c>
      <c r="F24" s="38">
        <f>SUMPRODUCT((个贷明细!$Q$8:$Q$666666&gt;=设置!$J$23)*(个贷明细!$Q$8:$Q$666666&lt;DATE(YEAR(设置!$D$23),MONTH(设置!$D$23)+6,DAY(设置!$D$23)))*(个贷明细!$R$8:$R$666666&gt;(DATE(YEAR(设置!$D$23),MONTH(设置!$D$23)+6,DAY(设置!$D$23))-1))*(个贷明细!$T$8:$T$666666=0)*(个贷明细!$AB$8:$AB$666666))+SUMPRODUCT((个贷明细!$Q$8:$Q$666666&gt;=设置!$J$23)*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B$8:$AB$666666))</f>
        <v>0</v>
      </c>
      <c r="G24" s="38">
        <f>SUMPRODUCT((个贷明细!$Q$8:$Q$666666&lt;设置!$J$23)*(个贷明细!$Q$8:$Q$666666&lt;DATE(YEAR(设置!$D$23),MONTH(设置!$D$23)+6,DAY(设置!$D$23)))*(个贷明细!$R$8:$R$666666&gt;(DATE(YEAR(设置!$D$23),MONTH(设置!$D$23)+6,DAY(设置!$D$23))-1))*(个贷明细!$T$8:$T$666666=0)*(个贷明细!$AB$8:$AB$666666))+SUMPRODUCT((个贷明细!$Q$8:$Q$666666&lt;设置!$J$23)*(个贷明细!$Q$8:$Q$666666&lt;DATE(YEAR(设置!$D$23),MONTH(设置!$D$23)+6,DAY(设置!$D$23)))*(个贷明细!$R$8:$R$666666&gt;(DATE(YEAR(设置!$D$23),MONTH(设置!$D$23)+6,DAY(设置!$D$23))-1))*(个贷明细!$T$8:$T$666666&gt;(DATE(YEAR(设置!$D$23),MONTH(设置!$D$23)+6,DAY(设置!$D$23))-1))*(个贷明细!$AB$8:$AB$666666))</f>
        <v>0</v>
      </c>
    </row>
    <row r="25" spans="1:7">
      <c r="A25" s="37" t="s">
        <v>303</v>
      </c>
      <c r="B25" s="25">
        <f>SUMPRODUCT((个贷明细!$Q$8:$Q$666666&lt;DATE(YEAR(设置!$D$23),MONTH(设置!$D$23)+7,DAY(设置!$D$23)))*(个贷明细!$R$8:$R$666666&gt;(DATE(YEAR(设置!$D$23),MONTH(设置!$D$23)+7,DAY(设置!$D$23))-1))*(个贷明细!$T$8:$T$666666=0)*(个贷明细!$AA$8:$AA$666666))+SUMPRODUCT(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A$8:$AA$666666))</f>
        <v>0</v>
      </c>
      <c r="C25" s="38">
        <f>SUMPRODUCT((个贷明细!$Q$8:$Q$666666&gt;=设置!$J$23)*(个贷明细!$Q$8:$Q$666666&lt;DATE(YEAR(设置!$D$23),MONTH(设置!$D$23)+7,DAY(设置!$D$23)))*(个贷明细!$R$8:$R$666666&gt;(DATE(YEAR(设置!$D$23),MONTH(设置!$D$23)+7,DAY(设置!$D$23))-1))*(个贷明细!$T$8:$T$666666=0)*(个贷明细!$AA$8:$AA$666666))+SUMPRODUCT((个贷明细!$Q$8:$Q$666666&gt;=设置!$J$23)*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A$8:$AA$666666))</f>
        <v>0</v>
      </c>
      <c r="D25" s="38">
        <f>SUMPRODUCT((个贷明细!$Q$8:$Q$666666&lt;设置!$J$23)*(个贷明细!$Q$8:$Q$666666&lt;DATE(YEAR(设置!$D$23),MONTH(设置!$D$23)+7,DAY(设置!$D$23)))*(个贷明细!$R$8:$R$666666&gt;(DATE(YEAR(设置!$D$23),MONTH(设置!$D$23)+7,DAY(设置!$D$23))-1))*(个贷明细!$T$8:$T$666666=0)*(个贷明细!$AA$8:$AA$666666))+SUMPRODUCT((个贷明细!$Q$8:$Q$666666&lt;设置!$J$23)*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A$8:$AA$666666))</f>
        <v>0</v>
      </c>
      <c r="E25" s="38">
        <f>SUMPRODUCT((个贷明细!$Q$8:$Q$666666&lt;DATE(YEAR(设置!$D$23),MONTH(设置!$D$23)+7,DAY(设置!$D$23)))*(个贷明细!$R$8:$R$666666&gt;(DATE(YEAR(设置!$D$23),MONTH(设置!$D$23)+7,DAY(设置!$D$23))-1))*(个贷明细!$T$8:$T$666666=0)*(个贷明细!$AB$8:$AB$666666))+SUMPRODUCT(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B$8:$AB$666666))</f>
        <v>0</v>
      </c>
      <c r="F25" s="38">
        <f>SUMPRODUCT((个贷明细!$Q$8:$Q$666666&gt;=设置!$J$23)*(个贷明细!$Q$8:$Q$666666&lt;DATE(YEAR(设置!$D$23),MONTH(设置!$D$23)+7,DAY(设置!$D$23)))*(个贷明细!$R$8:$R$666666&gt;(DATE(YEAR(设置!$D$23),MONTH(设置!$D$23)+7,DAY(设置!$D$23))-1))*(个贷明细!$T$8:$T$666666=0)*(个贷明细!$AB$8:$AB$666666))+SUMPRODUCT((个贷明细!$Q$8:$Q$666666&gt;=设置!$J$23)*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B$8:$AB$666666))</f>
        <v>0</v>
      </c>
      <c r="G25" s="38">
        <f>SUMPRODUCT((个贷明细!$Q$8:$Q$666666&lt;设置!$J$23)*(个贷明细!$Q$8:$Q$666666&lt;DATE(YEAR(设置!$D$23),MONTH(设置!$D$23)+7,DAY(设置!$D$23)))*(个贷明细!$R$8:$R$666666&gt;(DATE(YEAR(设置!$D$23),MONTH(设置!$D$23)+7,DAY(设置!$D$23))-1))*(个贷明细!$T$8:$T$666666=0)*(个贷明细!$AB$8:$AB$666666))+SUMPRODUCT((个贷明细!$Q$8:$Q$666666&lt;设置!$J$23)*(个贷明细!$Q$8:$Q$666666&lt;DATE(YEAR(设置!$D$23),MONTH(设置!$D$23)+7,DAY(设置!$D$23)))*(个贷明细!$R$8:$R$666666&gt;(DATE(YEAR(设置!$D$23),MONTH(设置!$D$23)+7,DAY(设置!$D$23))-1))*(个贷明细!$T$8:$T$666666&gt;(DATE(YEAR(设置!$D$23),MONTH(设置!$D$23)+7,DAY(设置!$D$23))-1))*(个贷明细!$AB$8:$AB$666666))</f>
        <v>0</v>
      </c>
    </row>
    <row r="26" spans="1:7">
      <c r="A26" s="37" t="s">
        <v>304</v>
      </c>
      <c r="B26" s="25">
        <f>SUMPRODUCT((个贷明细!$Q$8:$Q$666666&lt;DATE(YEAR(设置!$D$23),MONTH(设置!$D$23)+8,DAY(设置!$D$23)))*(个贷明细!$R$8:$R$666666&gt;(DATE(YEAR(设置!$D$23),MONTH(设置!$D$23)+8,DAY(设置!$D$23))-1))*(个贷明细!$T$8:$T$666666=0)*(个贷明细!$AA$8:$AA$666666))+SUMPRODUCT(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A$8:$AA$666666))</f>
        <v>0</v>
      </c>
      <c r="C26" s="38">
        <f>SUMPRODUCT((个贷明细!$Q$8:$Q$666666&gt;=设置!$J$23)*(个贷明细!$Q$8:$Q$666666&lt;DATE(YEAR(设置!$D$23),MONTH(设置!$D$23)+8,DAY(设置!$D$23)))*(个贷明细!$R$8:$R$666666&gt;(DATE(YEAR(设置!$D$23),MONTH(设置!$D$23)+8,DAY(设置!$D$23))-1))*(个贷明细!$T$8:$T$666666=0)*(个贷明细!$AA$8:$AA$666666))+SUMPRODUCT((个贷明细!$Q$8:$Q$666666&gt;=设置!$J$23)*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A$8:$AA$666666))</f>
        <v>0</v>
      </c>
      <c r="D26" s="38">
        <f>SUMPRODUCT((个贷明细!$Q$8:$Q$666666&lt;设置!$J$23)*(个贷明细!$Q$8:$Q$666666&lt;DATE(YEAR(设置!$D$23),MONTH(设置!$D$23)+8,DAY(设置!$D$23)))*(个贷明细!$R$8:$R$666666&gt;(DATE(YEAR(设置!$D$23),MONTH(设置!$D$23)+8,DAY(设置!$D$23))-1))*(个贷明细!$T$8:$T$666666=0)*(个贷明细!$AA$8:$AA$666666))+SUMPRODUCT((个贷明细!$Q$8:$Q$666666&lt;设置!$J$23)*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A$8:$AA$666666))</f>
        <v>0</v>
      </c>
      <c r="E26" s="38">
        <f>SUMPRODUCT((个贷明细!$Q$8:$Q$666666&lt;DATE(YEAR(设置!$D$23),MONTH(设置!$D$23)+8,DAY(设置!$D$23)))*(个贷明细!$R$8:$R$666666&gt;(DATE(YEAR(设置!$D$23),MONTH(设置!$D$23)+8,DAY(设置!$D$23))-1))*(个贷明细!$T$8:$T$666666=0)*(个贷明细!$AB$8:$AB$666666))+SUMPRODUCT(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B$8:$AB$666666))</f>
        <v>0</v>
      </c>
      <c r="F26" s="38">
        <f>SUMPRODUCT((个贷明细!$Q$8:$Q$666666&gt;=设置!$J$23)*(个贷明细!$Q$8:$Q$666666&lt;DATE(YEAR(设置!$D$23),MONTH(设置!$D$23)+8,DAY(设置!$D$23)))*(个贷明细!$R$8:$R$666666&gt;(DATE(YEAR(设置!$D$23),MONTH(设置!$D$23)+8,DAY(设置!$D$23))-1))*(个贷明细!$T$8:$T$666666=0)*(个贷明细!$AB$8:$AB$666666))+SUMPRODUCT((个贷明细!$Q$8:$Q$666666&gt;=设置!$J$23)*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B$8:$AB$666666))</f>
        <v>0</v>
      </c>
      <c r="G26" s="38">
        <f>SUMPRODUCT((个贷明细!$Q$8:$Q$666666&lt;设置!$J$23)*(个贷明细!$Q$8:$Q$666666&lt;DATE(YEAR(设置!$D$23),MONTH(设置!$D$23)+8,DAY(设置!$D$23)))*(个贷明细!$R$8:$R$666666&gt;(DATE(YEAR(设置!$D$23),MONTH(设置!$D$23)+8,DAY(设置!$D$23))-1))*(个贷明细!$T$8:$T$666666=0)*(个贷明细!$AB$8:$AB$666666))+SUMPRODUCT((个贷明细!$Q$8:$Q$666666&lt;设置!$J$23)*(个贷明细!$Q$8:$Q$666666&lt;DATE(YEAR(设置!$D$23),MONTH(设置!$D$23)+8,DAY(设置!$D$23)))*(个贷明细!$R$8:$R$666666&gt;(DATE(YEAR(设置!$D$23),MONTH(设置!$D$23)+8,DAY(设置!$D$23))-1))*(个贷明细!$T$8:$T$666666&gt;(DATE(YEAR(设置!$D$23),MONTH(设置!$D$23)+8,DAY(设置!$D$23))-1))*(个贷明细!$AB$8:$AB$666666))</f>
        <v>0</v>
      </c>
    </row>
    <row r="27" spans="1:7">
      <c r="A27" s="37" t="s">
        <v>305</v>
      </c>
      <c r="B27" s="25">
        <f>SUMPRODUCT((个贷明细!$Q$8:$Q$666666&lt;DATE(YEAR(设置!$D$23),MONTH(设置!$D$23)+9,DAY(设置!$D$23)))*(个贷明细!$R$8:$R$666666&gt;(DATE(YEAR(设置!$D$23),MONTH(设置!$D$23)+9,DAY(设置!$D$23))-1))*(个贷明细!$T$8:$T$666666=0)*(个贷明细!$AA$8:$AA$666666))+SUMPRODUCT(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A$8:$AA$666666))</f>
        <v>0</v>
      </c>
      <c r="C27" s="38">
        <f>SUMPRODUCT((个贷明细!$Q$8:$Q$666666&gt;=设置!$J$23)*(个贷明细!$Q$8:$Q$666666&lt;DATE(YEAR(设置!$D$23),MONTH(设置!$D$23)+9,DAY(设置!$D$23)))*(个贷明细!$R$8:$R$666666&gt;(DATE(YEAR(设置!$D$23),MONTH(设置!$D$23)+9,DAY(设置!$D$23))-1))*(个贷明细!$T$8:$T$666666=0)*(个贷明细!$AA$8:$AA$666666))+SUMPRODUCT((个贷明细!$Q$8:$Q$666666&gt;=设置!$J$23)*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A$8:$AA$666666))</f>
        <v>0</v>
      </c>
      <c r="D27" s="38">
        <f>SUMPRODUCT((个贷明细!$Q$8:$Q$666666&lt;设置!$J$23)*(个贷明细!$Q$8:$Q$666666&lt;DATE(YEAR(设置!$D$23),MONTH(设置!$D$23)+9,DAY(设置!$D$23)))*(个贷明细!$R$8:$R$666666&gt;(DATE(YEAR(设置!$D$23),MONTH(设置!$D$23)+9,DAY(设置!$D$23))-1))*(个贷明细!$T$8:$T$666666=0)*(个贷明细!$AA$8:$AA$666666))+SUMPRODUCT((个贷明细!$Q$8:$Q$666666&lt;设置!$J$23)*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A$8:$AA$666666))</f>
        <v>0</v>
      </c>
      <c r="E27" s="38">
        <f>SUMPRODUCT((个贷明细!$Q$8:$Q$666666&lt;DATE(YEAR(设置!$D$23),MONTH(设置!$D$23)+9,DAY(设置!$D$23)))*(个贷明细!$R$8:$R$666666&gt;(DATE(YEAR(设置!$D$23),MONTH(设置!$D$23)+9,DAY(设置!$D$23))-1))*(个贷明细!$T$8:$T$666666=0)*(个贷明细!$AB$8:$AB$666666))+SUMPRODUCT(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B$8:$AB$666666))</f>
        <v>0</v>
      </c>
      <c r="F27" s="38">
        <f>SUMPRODUCT((个贷明细!$Q$8:$Q$666666&gt;=设置!$J$23)*(个贷明细!$Q$8:$Q$666666&lt;DATE(YEAR(设置!$D$23),MONTH(设置!$D$23)+9,DAY(设置!$D$23)))*(个贷明细!$R$8:$R$666666&gt;(DATE(YEAR(设置!$D$23),MONTH(设置!$D$23)+9,DAY(设置!$D$23))-1))*(个贷明细!$T$8:$T$666666=0)*(个贷明细!$AB$8:$AB$666666))+SUMPRODUCT((个贷明细!$Q$8:$Q$666666&gt;=设置!$J$23)*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B$8:$AB$666666))</f>
        <v>0</v>
      </c>
      <c r="G27" s="38">
        <f>SUMPRODUCT((个贷明细!$Q$8:$Q$666666&lt;设置!$J$23)*(个贷明细!$Q$8:$Q$666666&lt;DATE(YEAR(设置!$D$23),MONTH(设置!$D$23)+9,DAY(设置!$D$23)))*(个贷明细!$R$8:$R$666666&gt;(DATE(YEAR(设置!$D$23),MONTH(设置!$D$23)+9,DAY(设置!$D$23))-1))*(个贷明细!$T$8:$T$666666=0)*(个贷明细!$AB$8:$AB$666666))+SUMPRODUCT((个贷明细!$Q$8:$Q$666666&lt;设置!$J$23)*(个贷明细!$Q$8:$Q$666666&lt;DATE(YEAR(设置!$D$23),MONTH(设置!$D$23)+9,DAY(设置!$D$23)))*(个贷明细!$R$8:$R$666666&gt;(DATE(YEAR(设置!$D$23),MONTH(设置!$D$23)+9,DAY(设置!$D$23))-1))*(个贷明细!$T$8:$T$666666&gt;(DATE(YEAR(设置!$D$23),MONTH(设置!$D$23)+9,DAY(设置!$D$23))-1))*(个贷明细!$AB$8:$AB$666666))</f>
        <v>0</v>
      </c>
    </row>
    <row r="28" spans="1:7">
      <c r="A28" s="37" t="s">
        <v>306</v>
      </c>
      <c r="B28" s="25">
        <f>SUMPRODUCT((个贷明细!$Q$8:$Q$666666&lt;DATE(YEAR(设置!$D$23),MONTH(设置!$D$23)+10,DAY(设置!$D$23)))*(个贷明细!$R$8:$R$666666&gt;(DATE(YEAR(设置!$D$23),MONTH(设置!$D$23)+10,DAY(设置!$D$23))-1))*(个贷明细!$T$8:$T$666666=0)*(个贷明细!$AA$8:$AA$666666))+SUMPRODUCT(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A$8:$AA$666666))</f>
        <v>0</v>
      </c>
      <c r="C28" s="38">
        <f>SUMPRODUCT((个贷明细!$Q$8:$Q$666666&gt;=设置!$J$23)*(个贷明细!$Q$8:$Q$666666&lt;DATE(YEAR(设置!$D$23),MONTH(设置!$D$23)+10,DAY(设置!$D$23)))*(个贷明细!$R$8:$R$666666&gt;(DATE(YEAR(设置!$D$23),MONTH(设置!$D$23)+10,DAY(设置!$D$23))-1))*(个贷明细!$T$8:$T$666666=0)*(个贷明细!$AA$8:$AA$666666))+SUMPRODUCT((个贷明细!$Q$8:$Q$666666&gt;=设置!$J$23)*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A$8:$AA$666666))</f>
        <v>0</v>
      </c>
      <c r="D28" s="38">
        <f>SUMPRODUCT((个贷明细!$Q$8:$Q$666666&lt;设置!$J$23)*(个贷明细!$Q$8:$Q$666666&lt;DATE(YEAR(设置!$D$23),MONTH(设置!$D$23)+10,DAY(设置!$D$23)))*(个贷明细!$R$8:$R$666666&gt;(DATE(YEAR(设置!$D$23),MONTH(设置!$D$23)+10,DAY(设置!$D$23))-1))*(个贷明细!$T$8:$T$666666=0)*(个贷明细!$AA$8:$AA$666666))+SUMPRODUCT((个贷明细!$Q$8:$Q$666666&lt;设置!$J$23)*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A$8:$AA$666666))</f>
        <v>0</v>
      </c>
      <c r="E28" s="38">
        <f>SUMPRODUCT((个贷明细!$Q$8:$Q$666666&lt;DATE(YEAR(设置!$D$23),MONTH(设置!$D$23)+10,DAY(设置!$D$23)))*(个贷明细!$R$8:$R$666666&gt;(DATE(YEAR(设置!$D$23),MONTH(设置!$D$23)+10,DAY(设置!$D$23))-1))*(个贷明细!$T$8:$T$666666=0)*(个贷明细!$AB$8:$AB$666666))+SUMPRODUCT(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B$8:$AB$666666))</f>
        <v>0</v>
      </c>
      <c r="F28" s="38">
        <f>SUMPRODUCT((个贷明细!$Q$8:$Q$666666&gt;=设置!$J$23)*(个贷明细!$Q$8:$Q$666666&lt;DATE(YEAR(设置!$D$23),MONTH(设置!$D$23)+10,DAY(设置!$D$23)))*(个贷明细!$R$8:$R$666666&gt;(DATE(YEAR(设置!$D$23),MONTH(设置!$D$23)+10,DAY(设置!$D$23))-1))*(个贷明细!$T$8:$T$666666=0)*(个贷明细!$AB$8:$AB$666666))+SUMPRODUCT((个贷明细!$Q$8:$Q$666666&gt;=设置!$J$23)*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B$8:$AB$666666))</f>
        <v>0</v>
      </c>
      <c r="G28" s="38">
        <f>SUMPRODUCT((个贷明细!$Q$8:$Q$666666&lt;设置!$J$23)*(个贷明细!$Q$8:$Q$666666&lt;DATE(YEAR(设置!$D$23),MONTH(设置!$D$23)+10,DAY(设置!$D$23)))*(个贷明细!$R$8:$R$666666&gt;(DATE(YEAR(设置!$D$23),MONTH(设置!$D$23)+10,DAY(设置!$D$23))-1))*(个贷明细!$T$8:$T$666666=0)*(个贷明细!$AB$8:$AB$666666))+SUMPRODUCT((个贷明细!$Q$8:$Q$666666&lt;设置!$J$23)*(个贷明细!$Q$8:$Q$666666&lt;DATE(YEAR(设置!$D$23),MONTH(设置!$D$23)+10,DAY(设置!$D$23)))*(个贷明细!$R$8:$R$666666&gt;(DATE(YEAR(设置!$D$23),MONTH(设置!$D$23)+10,DAY(设置!$D$23))-1))*(个贷明细!$T$8:$T$666666&gt;(DATE(YEAR(设置!$D$23),MONTH(设置!$D$23)+10,DAY(设置!$D$23))-1))*(个贷明细!$AB$8:$AB$666666))</f>
        <v>0</v>
      </c>
    </row>
    <row r="29" spans="1:7">
      <c r="A29" s="37" t="s">
        <v>307</v>
      </c>
      <c r="B29" s="25">
        <f>SUMPRODUCT((个贷明细!$Q$8:$Q$666666&lt;DATE(YEAR(设置!$D$23),MONTH(设置!$D$23)+11,DAY(设置!$D$23)))*(个贷明细!$R$8:$R$666666&gt;(DATE(YEAR(设置!$D$23),MONTH(设置!$D$23)+11,DAY(设置!$D$23))-1))*(个贷明细!$T$8:$T$666666=0)*(个贷明细!$AA$8:$AA$666666))+SUMPRODUCT(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A$8:$AA$666666))</f>
        <v>0</v>
      </c>
      <c r="C29" s="38">
        <f>SUMPRODUCT((个贷明细!$Q$8:$Q$666666&gt;=设置!$J$23)*(个贷明细!$Q$8:$Q$666666&lt;DATE(YEAR(设置!$D$23),MONTH(设置!$D$23)+11,DAY(设置!$D$23)))*(个贷明细!$R$8:$R$666666&gt;(DATE(YEAR(设置!$D$23),MONTH(设置!$D$23)+11,DAY(设置!$D$23))-1))*(个贷明细!$T$8:$T$666666=0)*(个贷明细!$AA$8:$AA$666666))+SUMPRODUCT((个贷明细!$Q$8:$Q$666666&gt;=设置!$J$23)*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A$8:$AA$666666))</f>
        <v>0</v>
      </c>
      <c r="D29" s="38">
        <f>SUMPRODUCT((个贷明细!$Q$8:$Q$666666&lt;设置!$J$23)*(个贷明细!$Q$8:$Q$666666&lt;DATE(YEAR(设置!$D$23),MONTH(设置!$D$23)+11,DAY(设置!$D$23)))*(个贷明细!$R$8:$R$666666&gt;(DATE(YEAR(设置!$D$23),MONTH(设置!$D$23)+11,DAY(设置!$D$23))-1))*(个贷明细!$T$8:$T$666666=0)*(个贷明细!$AA$8:$AA$666666))+SUMPRODUCT((个贷明细!$Q$8:$Q$666666&lt;设置!$J$23)*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A$8:$AA$666666))</f>
        <v>0</v>
      </c>
      <c r="E29" s="38">
        <f>SUMPRODUCT((个贷明细!$Q$8:$Q$666666&lt;DATE(YEAR(设置!$D$23),MONTH(设置!$D$23)+11,DAY(设置!$D$23)))*(个贷明细!$R$8:$R$666666&gt;(DATE(YEAR(设置!$D$23),MONTH(设置!$D$23)+11,DAY(设置!$D$23))-1))*(个贷明细!$T$8:$T$666666=0)*(个贷明细!$AB$8:$AB$666666))+SUMPRODUCT(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B$8:$AB$666666))</f>
        <v>0</v>
      </c>
      <c r="F29" s="38">
        <f>SUMPRODUCT((个贷明细!$Q$8:$Q$666666&gt;=设置!$J$23)*(个贷明细!$Q$8:$Q$666666&lt;DATE(YEAR(设置!$D$23),MONTH(设置!$D$23)+11,DAY(设置!$D$23)))*(个贷明细!$R$8:$R$666666&gt;(DATE(YEAR(设置!$D$23),MONTH(设置!$D$23)+11,DAY(设置!$D$23))-1))*(个贷明细!$T$8:$T$666666=0)*(个贷明细!$AB$8:$AB$666666))+SUMPRODUCT((个贷明细!$Q$8:$Q$666666&gt;=设置!$J$23)*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B$8:$AB$666666))</f>
        <v>0</v>
      </c>
      <c r="G29" s="38">
        <f>SUMPRODUCT((个贷明细!$Q$8:$Q$666666&lt;设置!$J$23)*(个贷明细!$Q$8:$Q$666666&lt;DATE(YEAR(设置!$D$23),MONTH(设置!$D$23)+11,DAY(设置!$D$23)))*(个贷明细!$R$8:$R$666666&gt;(DATE(YEAR(设置!$D$23),MONTH(设置!$D$23)+11,DAY(设置!$D$23))-1))*(个贷明细!$T$8:$T$666666=0)*(个贷明细!$AB$8:$AB$666666))+SUMPRODUCT((个贷明细!$Q$8:$Q$666666&lt;设置!$J$23)*(个贷明细!$Q$8:$Q$666666&lt;DATE(YEAR(设置!$D$23),MONTH(设置!$D$23)+11,DAY(设置!$D$23)))*(个贷明细!$R$8:$R$666666&gt;(DATE(YEAR(设置!$D$23),MONTH(设置!$D$23)+11,DAY(设置!$D$23))-1))*(个贷明细!$T$8:$T$666666&gt;(DATE(YEAR(设置!$D$23),MONTH(设置!$D$23)+11,DAY(设置!$D$23))-1))*(个贷明细!$AB$8:$AB$666666))</f>
        <v>0</v>
      </c>
    </row>
    <row r="30" spans="1:7">
      <c r="A30" s="37" t="s">
        <v>308</v>
      </c>
      <c r="B30" s="25">
        <f>SUMPRODUCT((个贷明细!$Q$8:$Q$666666&lt;DATE(YEAR(设置!$D$23),MONTH(设置!$D$23)+12,DAY(设置!$D$23)))*(个贷明细!$R$8:$R$666666&gt;(DATE(YEAR(设置!$D$23),MONTH(设置!$D$23)+12,DAY(设置!$D$23))-1))*(个贷明细!$T$8:$T$666666=0)*(个贷明细!$AA$8:$AA$666666))+SUMPRODUCT(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A$8:$AA$666666))</f>
        <v>0</v>
      </c>
      <c r="C30" s="38">
        <f>SUMPRODUCT((个贷明细!$Q$8:$Q$666666&gt;=设置!$J$23)*(个贷明细!$Q$8:$Q$666666&lt;DATE(YEAR(设置!$D$23),MONTH(设置!$D$23)+12,DAY(设置!$D$23)))*(个贷明细!$R$8:$R$666666&gt;(DATE(YEAR(设置!$D$23),MONTH(设置!$D$23)+12,DAY(设置!$D$23))-1))*(个贷明细!$T$8:$T$666666=0)*(个贷明细!$AA$8:$AA$666666))+SUMPRODUCT((个贷明细!$Q$8:$Q$666666&gt;=设置!$J$23)*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A$8:$AA$666666))</f>
        <v>0</v>
      </c>
      <c r="D30" s="38">
        <f>SUMPRODUCT((个贷明细!$Q$8:$Q$666666&lt;设置!$J$23)*(个贷明细!$Q$8:$Q$666666&lt;DATE(YEAR(设置!$D$23),MONTH(设置!$D$23)+12,DAY(设置!$D$23)))*(个贷明细!$R$8:$R$666666&gt;(DATE(YEAR(设置!$D$23),MONTH(设置!$D$23)+12,DAY(设置!$D$23))-1))*(个贷明细!$T$8:$T$666666=0)*(个贷明细!$AA$8:$AA$666666))+SUMPRODUCT((个贷明细!$Q$8:$Q$666666&lt;设置!$J$23)*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A$8:$AA$666666))</f>
        <v>0</v>
      </c>
      <c r="E30" s="38">
        <f>SUMPRODUCT((个贷明细!$Q$8:$Q$666666&lt;DATE(YEAR(设置!$D$23),MONTH(设置!$D$23)+12,DAY(设置!$D$23)))*(个贷明细!$R$8:$R$666666&gt;(DATE(YEAR(设置!$D$23),MONTH(设置!$D$23)+12,DAY(设置!$D$23))-1))*(个贷明细!$T$8:$T$666666=0)*(个贷明细!$AB$8:$AB$666666))+SUMPRODUCT(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B$8:$AB$666666))</f>
        <v>0</v>
      </c>
      <c r="F30" s="38">
        <f>SUMPRODUCT((个贷明细!$Q$8:$Q$666666&gt;=设置!$J$23)*(个贷明细!$Q$8:$Q$666666&lt;DATE(YEAR(设置!$D$23),MONTH(设置!$D$23)+12,DAY(设置!$D$23)))*(个贷明细!$R$8:$R$666666&gt;(DATE(YEAR(设置!$D$23),MONTH(设置!$D$23)+12,DAY(设置!$D$23))-1))*(个贷明细!$T$8:$T$666666=0)*(个贷明细!$AB$8:$AB$666666))+SUMPRODUCT((个贷明细!$Q$8:$Q$666666&gt;=设置!$J$23)*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B$8:$AB$666666))</f>
        <v>0</v>
      </c>
      <c r="G30" s="38">
        <f>SUMPRODUCT((个贷明细!$Q$8:$Q$666666&lt;设置!$J$23)*(个贷明细!$Q$8:$Q$666666&lt;DATE(YEAR(设置!$D$23),MONTH(设置!$D$23)+12,DAY(设置!$D$23)))*(个贷明细!$R$8:$R$666666&gt;(DATE(YEAR(设置!$D$23),MONTH(设置!$D$23)+12,DAY(设置!$D$23))-1))*(个贷明细!$T$8:$T$666666=0)*(个贷明细!$AB$8:$AB$666666))+SUMPRODUCT((个贷明细!$Q$8:$Q$666666&lt;设置!$J$23)*(个贷明细!$Q$8:$Q$666666&lt;DATE(YEAR(设置!$D$23),MONTH(设置!$D$23)+12,DAY(设置!$D$23)))*(个贷明细!$R$8:$R$666666&gt;(DATE(YEAR(设置!$D$23),MONTH(设置!$D$23)+12,DAY(设置!$D$23))-1))*(个贷明细!$T$8:$T$666666&gt;(DATE(YEAR(设置!$D$23),MONTH(设置!$D$23)+12,DAY(设置!$D$23))-1))*(个贷明细!$AB$8:$AB$666666))</f>
        <v>0</v>
      </c>
    </row>
    <row r="32" spans="1:7">
      <c r="A32" s="34" t="s">
        <v>284</v>
      </c>
      <c r="B32" s="21" t="s">
        <v>233</v>
      </c>
      <c r="C32" s="21"/>
      <c r="D32" s="21"/>
      <c r="E32" s="21"/>
      <c r="F32" s="21"/>
      <c r="G32" s="21"/>
    </row>
    <row r="33" spans="1:7">
      <c r="A33" s="35"/>
      <c r="B33" s="21" t="s">
        <v>189</v>
      </c>
      <c r="C33" s="21"/>
      <c r="D33" s="21"/>
      <c r="E33" s="21" t="s">
        <v>296</v>
      </c>
      <c r="F33" s="21"/>
      <c r="G33" s="21"/>
    </row>
    <row r="34" spans="1:7">
      <c r="A34" s="36"/>
      <c r="B34" s="21" t="s">
        <v>204</v>
      </c>
      <c r="C34" s="21" t="s">
        <v>236</v>
      </c>
      <c r="D34" s="21" t="s">
        <v>237</v>
      </c>
      <c r="E34" s="21" t="s">
        <v>204</v>
      </c>
      <c r="F34" s="21" t="s">
        <v>236</v>
      </c>
      <c r="G34" s="21" t="s">
        <v>237</v>
      </c>
    </row>
    <row r="35" spans="1:7">
      <c r="A35" s="37" t="s">
        <v>297</v>
      </c>
      <c r="B35" s="25">
        <f>SUMPRODUCT((企贷明细!$Q$8:$Q$666666&lt;DATE(YEAR(设置!$D$23),MONTH(设置!$D$23)+1,DAY(设置!$D$23)))*(企贷明细!$R$8:$R$666666&gt;(DATE(YEAR(设置!$D$23),MONTH(设置!$D$23)+1,DAY(设置!$D$23))-1))*(企贷明细!$T$8:$T$666666=0)*(企贷明细!$AA$8:$AA$666666))+SUMPRODUCT(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A$8:$AA$666666))</f>
        <v>0</v>
      </c>
      <c r="C35" s="38">
        <f>SUMPRODUCT((企贷明细!$Q$8:$Q$666666&gt;=设置!$J$23)*(企贷明细!$Q$8:$Q$666666&lt;DATE(YEAR(设置!$D$23),MONTH(设置!$D$23)+1,DAY(设置!$D$23)))*(企贷明细!$R$8:$R$666666&gt;(DATE(YEAR(设置!$D$23),MONTH(设置!$D$23)+1,DAY(设置!$D$23))-1))*(企贷明细!$T$8:$T$666666=0)*(企贷明细!$AA$8:$AA$666666))+SUMPRODUCT((企贷明细!$Q$8:$Q$666666&gt;=设置!$J$23)*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A$8:$AA$666666))</f>
        <v>0</v>
      </c>
      <c r="D35" s="38">
        <f>SUMPRODUCT((企贷明细!$Q$8:$Q$666666&lt;设置!$J$23)*(企贷明细!$Q$8:$Q$666666&lt;DATE(YEAR(设置!$D$23),MONTH(设置!$D$23)+1,DAY(设置!$D$23)))*(企贷明细!$R$8:$R$666666&gt;(DATE(YEAR(设置!$D$23),MONTH(设置!$D$23)+1,DAY(设置!$D$23))-1))*(企贷明细!$T$8:$T$666666=0)*(企贷明细!$AA$8:$AA$666666))+SUMPRODUCT((企贷明细!$Q$8:$Q$666666&lt;设置!$J$23)*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A$8:$AA$666666))</f>
        <v>0</v>
      </c>
      <c r="E35" s="38">
        <f>SUMPRODUCT((企贷明细!$Q$8:$Q$666666&lt;DATE(YEAR(设置!$D$23),MONTH(设置!$D$23)+1,DAY(设置!$D$23)))*(企贷明细!$R$8:$R$666666&gt;(DATE(YEAR(设置!$D$23),MONTH(设置!$D$23)+1,DAY(设置!$D$23))-1))*(企贷明细!$T$8:$T$666666=0)*(企贷明细!$AB$8:$AB$666666))+SUMPRODUCT(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B$8:$AB$666666))</f>
        <v>0</v>
      </c>
      <c r="F35" s="38">
        <f>SUMPRODUCT((企贷明细!$Q$8:$Q$666666&gt;=设置!$J$23)*(企贷明细!$Q$8:$Q$666666&lt;DATE(YEAR(设置!$D$23),MONTH(设置!$D$23)+1,DAY(设置!$D$23)))*(企贷明细!$R$8:$R$666666&gt;(DATE(YEAR(设置!$D$23),MONTH(设置!$D$23)+1,DAY(设置!$D$23))-1))*(企贷明细!$T$8:$T$666666=0)*(企贷明细!$AB$8:$AB$666666))+SUMPRODUCT((企贷明细!$Q$8:$Q$666666&gt;=设置!$J$23)*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B$8:$AB$666666))</f>
        <v>0</v>
      </c>
      <c r="G35" s="38">
        <f>SUMPRODUCT((企贷明细!$Q$8:$Q$666666&lt;设置!$J$23)*(企贷明细!$Q$8:$Q$666666&lt;DATE(YEAR(设置!$D$23),MONTH(设置!$D$23)+1,DAY(设置!$D$23)))*(企贷明细!$R$8:$R$666666&gt;(DATE(YEAR(设置!$D$23),MONTH(设置!$D$23)+1,DAY(设置!$D$23))-1))*(企贷明细!$T$8:$T$666666=0)*(企贷明细!$AB$8:$AB$666666))+SUMPRODUCT((企贷明细!$Q$8:$Q$666666&lt;设置!$J$23)*(企贷明细!$Q$8:$Q$666666&lt;DATE(YEAR(设置!$D$23),MONTH(设置!$D$23)+1,DAY(设置!$D$23)))*(企贷明细!$R$8:$R$666666&gt;(DATE(YEAR(设置!$D$23),MONTH(设置!$D$23)+1,DAY(设置!$D$23))-1))*(企贷明细!$T$8:$T$666666&gt;(DATE(YEAR(设置!$D$23),MONTH(设置!$D$23)+1,DAY(设置!$D$23))-1))*(企贷明细!$AB$8:$AB$666666))</f>
        <v>0</v>
      </c>
    </row>
    <row r="36" spans="1:7">
      <c r="A36" s="37" t="s">
        <v>298</v>
      </c>
      <c r="B36" s="25">
        <f>SUMPRODUCT((企贷明细!$Q$8:$Q$666666&lt;DATE(YEAR(设置!$D$23),MONTH(设置!$D$23)+2,DAY(设置!$D$23)))*(企贷明细!$R$8:$R$666666&gt;(DATE(YEAR(设置!$D$23),MONTH(设置!$D$23)+2,DAY(设置!$D$23))-1))*(企贷明细!$T$8:$T$666666=0)*(企贷明细!$AA$8:$AA$666666))+SUMPRODUCT(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A$8:$AA$666666))</f>
        <v>0</v>
      </c>
      <c r="C36" s="38">
        <f>SUMPRODUCT((企贷明细!$Q$8:$Q$666666&gt;=设置!$J$23)*(企贷明细!$Q$8:$Q$666666&lt;DATE(YEAR(设置!$D$23),MONTH(设置!$D$23)+2,DAY(设置!$D$23)))*(企贷明细!$R$8:$R$666666&gt;(DATE(YEAR(设置!$D$23),MONTH(设置!$D$23)+2,DAY(设置!$D$23))-1))*(企贷明细!$T$8:$T$666666=0)*(企贷明细!$AA$8:$AA$666666))+SUMPRODUCT((企贷明细!$Q$8:$Q$666666&gt;=设置!$J$23)*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A$8:$AA$666666))</f>
        <v>0</v>
      </c>
      <c r="D36" s="38">
        <f>SUMPRODUCT((企贷明细!$Q$8:$Q$666666&lt;设置!$J$23)*(企贷明细!$Q$8:$Q$666666&lt;DATE(YEAR(设置!$D$23),MONTH(设置!$D$23)+2,DAY(设置!$D$23)))*(企贷明细!$R$8:$R$666666&gt;(DATE(YEAR(设置!$D$23),MONTH(设置!$D$23)+2,DAY(设置!$D$23))-1))*(企贷明细!$T$8:$T$666666=0)*(企贷明细!$AA$8:$AA$666666))+SUMPRODUCT((企贷明细!$Q$8:$Q$666666&lt;设置!$J$23)*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A$8:$AA$666666))</f>
        <v>0</v>
      </c>
      <c r="E36" s="38">
        <f>SUMPRODUCT((企贷明细!$Q$8:$Q$666666&lt;DATE(YEAR(设置!$D$23),MONTH(设置!$D$23)+2,DAY(设置!$D$23)))*(企贷明细!$R$8:$R$666666&gt;(DATE(YEAR(设置!$D$23),MONTH(设置!$D$23)+2,DAY(设置!$D$23))-1))*(企贷明细!$T$8:$T$666666=0)*(企贷明细!$AB$8:$AB$666666))+SUMPRODUCT(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B$8:$AB$666666))</f>
        <v>0</v>
      </c>
      <c r="F36" s="38">
        <f>SUMPRODUCT((企贷明细!$Q$8:$Q$666666&gt;=设置!$J$23)*(企贷明细!$Q$8:$Q$666666&lt;DATE(YEAR(设置!$D$23),MONTH(设置!$D$23)+2,DAY(设置!$D$23)))*(企贷明细!$R$8:$R$666666&gt;(DATE(YEAR(设置!$D$23),MONTH(设置!$D$23)+2,DAY(设置!$D$23))-1))*(企贷明细!$T$8:$T$666666=0)*(企贷明细!$AB$8:$AB$666666))+SUMPRODUCT((企贷明细!$Q$8:$Q$666666&gt;=设置!$J$23)*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B$8:$AB$666666))</f>
        <v>0</v>
      </c>
      <c r="G36" s="38">
        <f>SUMPRODUCT((企贷明细!$Q$8:$Q$666666&lt;设置!$J$23)*(企贷明细!$Q$8:$Q$666666&lt;DATE(YEAR(设置!$D$23),MONTH(设置!$D$23)+2,DAY(设置!$D$23)))*(企贷明细!$R$8:$R$666666&gt;(DATE(YEAR(设置!$D$23),MONTH(设置!$D$23)+2,DAY(设置!$D$23))-1))*(企贷明细!$T$8:$T$666666=0)*(企贷明细!$AB$8:$AB$666666))+SUMPRODUCT((企贷明细!$Q$8:$Q$666666&lt;设置!$J$23)*(企贷明细!$Q$8:$Q$666666&lt;DATE(YEAR(设置!$D$23),MONTH(设置!$D$23)+2,DAY(设置!$D$23)))*(企贷明细!$R$8:$R$666666&gt;(DATE(YEAR(设置!$D$23),MONTH(设置!$D$23)+2,DAY(设置!$D$23))-1))*(企贷明细!$T$8:$T$666666&gt;(DATE(YEAR(设置!$D$23),MONTH(设置!$D$23)+2,DAY(设置!$D$23))-1))*(企贷明细!$AB$8:$AB$666666))</f>
        <v>0</v>
      </c>
    </row>
    <row r="37" spans="1:7">
      <c r="A37" s="37" t="s">
        <v>299</v>
      </c>
      <c r="B37" s="25">
        <f>SUMPRODUCT((企贷明细!$Q$8:$Q$666666&lt;DATE(YEAR(设置!$D$23),MONTH(设置!$D$23)+3,DAY(设置!$D$23)))*(企贷明细!$R$8:$R$666666&gt;(DATE(YEAR(设置!$D$23),MONTH(设置!$D$23)+3,DAY(设置!$D$23))-1))*(企贷明细!$T$8:$T$666666=0)*(企贷明细!$AA$8:$AA$666666))+SUMPRODUCT(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A$8:$AA$666666))</f>
        <v>0</v>
      </c>
      <c r="C37" s="38">
        <f>SUMPRODUCT((企贷明细!$Q$8:$Q$666666&gt;=设置!$J$23)*(企贷明细!$Q$8:$Q$666666&lt;DATE(YEAR(设置!$D$23),MONTH(设置!$D$23)+3,DAY(设置!$D$23)))*(企贷明细!$R$8:$R$666666&gt;(DATE(YEAR(设置!$D$23),MONTH(设置!$D$23)+3,DAY(设置!$D$23))-1))*(企贷明细!$T$8:$T$666666=0)*(企贷明细!$AA$8:$AA$666666))+SUMPRODUCT((企贷明细!$Q$8:$Q$666666&gt;=设置!$J$23)*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A$8:$AA$666666))</f>
        <v>0</v>
      </c>
      <c r="D37" s="38">
        <f>SUMPRODUCT((企贷明细!$Q$8:$Q$666666&lt;设置!$J$23)*(企贷明细!$Q$8:$Q$666666&lt;DATE(YEAR(设置!$D$23),MONTH(设置!$D$23)+3,DAY(设置!$D$23)))*(企贷明细!$R$8:$R$666666&gt;(DATE(YEAR(设置!$D$23),MONTH(设置!$D$23)+3,DAY(设置!$D$23))-1))*(企贷明细!$T$8:$T$666666=0)*(企贷明细!$AA$8:$AA$666666))+SUMPRODUCT((企贷明细!$Q$8:$Q$666666&lt;设置!$J$23)*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A$8:$AA$666666))</f>
        <v>0</v>
      </c>
      <c r="E37" s="38">
        <f>SUMPRODUCT((企贷明细!$Q$8:$Q$666666&lt;DATE(YEAR(设置!$D$23),MONTH(设置!$D$23)+3,DAY(设置!$D$23)))*(企贷明细!$R$8:$R$666666&gt;(DATE(YEAR(设置!$D$23),MONTH(设置!$D$23)+3,DAY(设置!$D$23))-1))*(企贷明细!$T$8:$T$666666=0)*(企贷明细!$AB$8:$AB$666666))+SUMPRODUCT(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B$8:$AB$666666))</f>
        <v>0</v>
      </c>
      <c r="F37" s="38">
        <f>SUMPRODUCT((企贷明细!$Q$8:$Q$666666&gt;=设置!$J$23)*(企贷明细!$Q$8:$Q$666666&lt;DATE(YEAR(设置!$D$23),MONTH(设置!$D$23)+3,DAY(设置!$D$23)))*(企贷明细!$R$8:$R$666666&gt;(DATE(YEAR(设置!$D$23),MONTH(设置!$D$23)+3,DAY(设置!$D$23))-1))*(企贷明细!$T$8:$T$666666=0)*(企贷明细!$AB$8:$AB$666666))+SUMPRODUCT((企贷明细!$Q$8:$Q$666666&gt;=设置!$J$23)*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B$8:$AB$666666))</f>
        <v>0</v>
      </c>
      <c r="G37" s="38">
        <f>SUMPRODUCT((企贷明细!$Q$8:$Q$666666&lt;设置!$J$23)*(企贷明细!$Q$8:$Q$666666&lt;DATE(YEAR(设置!$D$23),MONTH(设置!$D$23)+3,DAY(设置!$D$23)))*(企贷明细!$R$8:$R$666666&gt;(DATE(YEAR(设置!$D$23),MONTH(设置!$D$23)+3,DAY(设置!$D$23))-1))*(企贷明细!$T$8:$T$666666=0)*(企贷明细!$AB$8:$AB$666666))+SUMPRODUCT((企贷明细!$Q$8:$Q$666666&lt;设置!$J$23)*(企贷明细!$Q$8:$Q$666666&lt;DATE(YEAR(设置!$D$23),MONTH(设置!$D$23)+3,DAY(设置!$D$23)))*(企贷明细!$R$8:$R$666666&gt;(DATE(YEAR(设置!$D$23),MONTH(设置!$D$23)+3,DAY(设置!$D$23))-1))*(企贷明细!$T$8:$T$666666&gt;(DATE(YEAR(设置!$D$23),MONTH(设置!$D$23)+3,DAY(设置!$D$23))-1))*(企贷明细!$AB$8:$AB$666666))</f>
        <v>0</v>
      </c>
    </row>
    <row r="38" spans="1:7">
      <c r="A38" s="37" t="s">
        <v>300</v>
      </c>
      <c r="B38" s="25">
        <f>SUMPRODUCT((企贷明细!$Q$8:$Q$666666&lt;DATE(YEAR(设置!$D$23),MONTH(设置!$D$23)+4,DAY(设置!$D$23)))*(企贷明细!$R$8:$R$666666&gt;(DATE(YEAR(设置!$D$23),MONTH(设置!$D$23)+4,DAY(设置!$D$23))-1))*(企贷明细!$T$8:$T$666666=0)*(企贷明细!$AA$8:$AA$666666))+SUMPRODUCT(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A$8:$AA$666666))</f>
        <v>0</v>
      </c>
      <c r="C38" s="38">
        <f>SUMPRODUCT((企贷明细!$Q$8:$Q$666666&gt;=设置!$J$23)*(企贷明细!$Q$8:$Q$666666&lt;DATE(YEAR(设置!$D$23),MONTH(设置!$D$23)+4,DAY(设置!$D$23)))*(企贷明细!$R$8:$R$666666&gt;(DATE(YEAR(设置!$D$23),MONTH(设置!$D$23)+4,DAY(设置!$D$23))-1))*(企贷明细!$T$8:$T$666666=0)*(企贷明细!$AA$8:$AA$666666))+SUMPRODUCT((企贷明细!$Q$8:$Q$666666&gt;=设置!$J$23)*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A$8:$AA$666666))</f>
        <v>0</v>
      </c>
      <c r="D38" s="38">
        <f>SUMPRODUCT((企贷明细!$Q$8:$Q$666666&lt;设置!$J$23)*(企贷明细!$Q$8:$Q$666666&lt;DATE(YEAR(设置!$D$23),MONTH(设置!$D$23)+4,DAY(设置!$D$23)))*(企贷明细!$R$8:$R$666666&gt;(DATE(YEAR(设置!$D$23),MONTH(设置!$D$23)+4,DAY(设置!$D$23))-1))*(企贷明细!$T$8:$T$666666=0)*(企贷明细!$AA$8:$AA$666666))+SUMPRODUCT((企贷明细!$Q$8:$Q$666666&lt;设置!$J$23)*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A$8:$AA$666666))</f>
        <v>0</v>
      </c>
      <c r="E38" s="38">
        <f>SUMPRODUCT((企贷明细!$Q$8:$Q$666666&lt;DATE(YEAR(设置!$D$23),MONTH(设置!$D$23)+4,DAY(设置!$D$23)))*(企贷明细!$R$8:$R$666666&gt;(DATE(YEAR(设置!$D$23),MONTH(设置!$D$23)+4,DAY(设置!$D$23))-1))*(企贷明细!$T$8:$T$666666=0)*(企贷明细!$AB$8:$AB$666666))+SUMPRODUCT(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B$8:$AB$666666))</f>
        <v>0</v>
      </c>
      <c r="F38" s="38">
        <f>SUMPRODUCT((企贷明细!$Q$8:$Q$666666&gt;=设置!$J$23)*(企贷明细!$Q$8:$Q$666666&lt;DATE(YEAR(设置!$D$23),MONTH(设置!$D$23)+4,DAY(设置!$D$23)))*(企贷明细!$R$8:$R$666666&gt;(DATE(YEAR(设置!$D$23),MONTH(设置!$D$23)+4,DAY(设置!$D$23))-1))*(企贷明细!$T$8:$T$666666=0)*(企贷明细!$AB$8:$AB$666666))+SUMPRODUCT((企贷明细!$Q$8:$Q$666666&gt;=设置!$J$23)*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B$8:$AB$666666))</f>
        <v>0</v>
      </c>
      <c r="G38" s="38">
        <f>SUMPRODUCT((企贷明细!$Q$8:$Q$666666&lt;设置!$J$23)*(企贷明细!$Q$8:$Q$666666&lt;DATE(YEAR(设置!$D$23),MONTH(设置!$D$23)+4,DAY(设置!$D$23)))*(企贷明细!$R$8:$R$666666&gt;(DATE(YEAR(设置!$D$23),MONTH(设置!$D$23)+4,DAY(设置!$D$23))-1))*(企贷明细!$T$8:$T$666666=0)*(企贷明细!$AB$8:$AB$666666))+SUMPRODUCT((企贷明细!$Q$8:$Q$666666&lt;设置!$J$23)*(企贷明细!$Q$8:$Q$666666&lt;DATE(YEAR(设置!$D$23),MONTH(设置!$D$23)+4,DAY(设置!$D$23)))*(企贷明细!$R$8:$R$666666&gt;(DATE(YEAR(设置!$D$23),MONTH(设置!$D$23)+4,DAY(设置!$D$23))-1))*(企贷明细!$T$8:$T$666666&gt;(DATE(YEAR(设置!$D$23),MONTH(设置!$D$23)+4,DAY(设置!$D$23))-1))*(企贷明细!$AB$8:$AB$666666))</f>
        <v>0</v>
      </c>
    </row>
    <row r="39" spans="1:7">
      <c r="A39" s="37" t="s">
        <v>301</v>
      </c>
      <c r="B39" s="25">
        <f>SUMPRODUCT((企贷明细!$Q$8:$Q$666666&lt;DATE(YEAR(设置!$D$23),MONTH(设置!$D$23)+5,DAY(设置!$D$23)))*(企贷明细!$R$8:$R$666666&gt;(DATE(YEAR(设置!$D$23),MONTH(设置!$D$23)+5,DAY(设置!$D$23))-1))*(企贷明细!$T$8:$T$666666=0)*(企贷明细!$AA$8:$AA$666666))+SUMPRODUCT(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A$8:$AA$666666))</f>
        <v>0</v>
      </c>
      <c r="C39" s="38">
        <f>SUMPRODUCT((企贷明细!$Q$8:$Q$666666&gt;=设置!$J$23)*(企贷明细!$Q$8:$Q$666666&lt;DATE(YEAR(设置!$D$23),MONTH(设置!$D$23)+5,DAY(设置!$D$23)))*(企贷明细!$R$8:$R$666666&gt;(DATE(YEAR(设置!$D$23),MONTH(设置!$D$23)+5,DAY(设置!$D$23))-1))*(企贷明细!$T$8:$T$666666=0)*(企贷明细!$AA$8:$AA$666666))+SUMPRODUCT((企贷明细!$Q$8:$Q$666666&gt;=设置!$J$23)*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A$8:$AA$666666))</f>
        <v>0</v>
      </c>
      <c r="D39" s="38">
        <f>SUMPRODUCT((企贷明细!$Q$8:$Q$666666&lt;设置!$J$23)*(企贷明细!$Q$8:$Q$666666&lt;DATE(YEAR(设置!$D$23),MONTH(设置!$D$23)+5,DAY(设置!$D$23)))*(企贷明细!$R$8:$R$666666&gt;(DATE(YEAR(设置!$D$23),MONTH(设置!$D$23)+5,DAY(设置!$D$23))-1))*(企贷明细!$T$8:$T$666666=0)*(企贷明细!$AA$8:$AA$666666))+SUMPRODUCT((企贷明细!$Q$8:$Q$666666&lt;设置!$J$23)*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A$8:$AA$666666))</f>
        <v>0</v>
      </c>
      <c r="E39" s="38">
        <f>SUMPRODUCT((企贷明细!$Q$8:$Q$666666&lt;DATE(YEAR(设置!$D$23),MONTH(设置!$D$23)+5,DAY(设置!$D$23)))*(企贷明细!$R$8:$R$666666&gt;(DATE(YEAR(设置!$D$23),MONTH(设置!$D$23)+5,DAY(设置!$D$23))-1))*(企贷明细!$T$8:$T$666666=0)*(企贷明细!$AB$8:$AB$666666))+SUMPRODUCT(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B$8:$AB$666666))</f>
        <v>0</v>
      </c>
      <c r="F39" s="38">
        <f>SUMPRODUCT((企贷明细!$Q$8:$Q$666666&gt;=设置!$J$23)*(企贷明细!$Q$8:$Q$666666&lt;DATE(YEAR(设置!$D$23),MONTH(设置!$D$23)+5,DAY(设置!$D$23)))*(企贷明细!$R$8:$R$666666&gt;(DATE(YEAR(设置!$D$23),MONTH(设置!$D$23)+5,DAY(设置!$D$23))-1))*(企贷明细!$T$8:$T$666666=0)*(企贷明细!$AB$8:$AB$666666))+SUMPRODUCT((企贷明细!$Q$8:$Q$666666&gt;=设置!$J$23)*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B$8:$AB$666666))</f>
        <v>0</v>
      </c>
      <c r="G39" s="38">
        <f>SUMPRODUCT((企贷明细!$Q$8:$Q$666666&lt;设置!$J$23)*(企贷明细!$Q$8:$Q$666666&lt;DATE(YEAR(设置!$D$23),MONTH(设置!$D$23)+5,DAY(设置!$D$23)))*(企贷明细!$R$8:$R$666666&gt;(DATE(YEAR(设置!$D$23),MONTH(设置!$D$23)+5,DAY(设置!$D$23))-1))*(企贷明细!$T$8:$T$666666=0)*(企贷明细!$AB$8:$AB$666666))+SUMPRODUCT((企贷明细!$Q$8:$Q$666666&lt;设置!$J$23)*(企贷明细!$Q$8:$Q$666666&lt;DATE(YEAR(设置!$D$23),MONTH(设置!$D$23)+5,DAY(设置!$D$23)))*(企贷明细!$R$8:$R$666666&gt;(DATE(YEAR(设置!$D$23),MONTH(设置!$D$23)+5,DAY(设置!$D$23))-1))*(企贷明细!$T$8:$T$666666&gt;(DATE(YEAR(设置!$D$23),MONTH(设置!$D$23)+5,DAY(设置!$D$23))-1))*(企贷明细!$AB$8:$AB$666666))</f>
        <v>0</v>
      </c>
    </row>
    <row r="40" spans="1:7">
      <c r="A40" s="37" t="s">
        <v>302</v>
      </c>
      <c r="B40" s="25">
        <f>SUMPRODUCT((企贷明细!$Q$8:$Q$666666&lt;DATE(YEAR(设置!$D$23),MONTH(设置!$D$23)+6,DAY(设置!$D$23)))*(企贷明细!$R$8:$R$666666&gt;(DATE(YEAR(设置!$D$23),MONTH(设置!$D$23)+6,DAY(设置!$D$23))-1))*(企贷明细!$T$8:$T$666666=0)*(企贷明细!$AA$8:$AA$666666))+SUMPRODUCT(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A$8:$AA$666666))</f>
        <v>0</v>
      </c>
      <c r="C40" s="38">
        <f>SUMPRODUCT((企贷明细!$Q$8:$Q$666666&gt;=设置!$J$23)*(企贷明细!$Q$8:$Q$666666&lt;DATE(YEAR(设置!$D$23),MONTH(设置!$D$23)+6,DAY(设置!$D$23)))*(企贷明细!$R$8:$R$666666&gt;(DATE(YEAR(设置!$D$23),MONTH(设置!$D$23)+6,DAY(设置!$D$23))-1))*(企贷明细!$T$8:$T$666666=0)*(企贷明细!$AA$8:$AA$666666))+SUMPRODUCT((企贷明细!$Q$8:$Q$666666&gt;=设置!$J$23)*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A$8:$AA$666666))</f>
        <v>0</v>
      </c>
      <c r="D40" s="38">
        <f>SUMPRODUCT((企贷明细!$Q$8:$Q$666666&lt;设置!$J$23)*(企贷明细!$Q$8:$Q$666666&lt;DATE(YEAR(设置!$D$23),MONTH(设置!$D$23)+6,DAY(设置!$D$23)))*(企贷明细!$R$8:$R$666666&gt;(DATE(YEAR(设置!$D$23),MONTH(设置!$D$23)+6,DAY(设置!$D$23))-1))*(企贷明细!$T$8:$T$666666=0)*(企贷明细!$AA$8:$AA$666666))+SUMPRODUCT((企贷明细!$Q$8:$Q$666666&lt;设置!$J$23)*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A$8:$AA$666666))</f>
        <v>0</v>
      </c>
      <c r="E40" s="38">
        <f>SUMPRODUCT((企贷明细!$Q$8:$Q$666666&lt;DATE(YEAR(设置!$D$23),MONTH(设置!$D$23)+6,DAY(设置!$D$23)))*(企贷明细!$R$8:$R$666666&gt;(DATE(YEAR(设置!$D$23),MONTH(设置!$D$23)+6,DAY(设置!$D$23))-1))*(企贷明细!$T$8:$T$666666=0)*(企贷明细!$AB$8:$AB$666666))+SUMPRODUCT(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B$8:$AB$666666))</f>
        <v>0</v>
      </c>
      <c r="F40" s="38">
        <f>SUMPRODUCT((企贷明细!$Q$8:$Q$666666&gt;=设置!$J$23)*(企贷明细!$Q$8:$Q$666666&lt;DATE(YEAR(设置!$D$23),MONTH(设置!$D$23)+6,DAY(设置!$D$23)))*(企贷明细!$R$8:$R$666666&gt;(DATE(YEAR(设置!$D$23),MONTH(设置!$D$23)+6,DAY(设置!$D$23))-1))*(企贷明细!$T$8:$T$666666=0)*(企贷明细!$AB$8:$AB$666666))+SUMPRODUCT((企贷明细!$Q$8:$Q$666666&gt;=设置!$J$23)*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B$8:$AB$666666))</f>
        <v>0</v>
      </c>
      <c r="G40" s="38">
        <f>SUMPRODUCT((企贷明细!$Q$8:$Q$666666&lt;设置!$J$23)*(企贷明细!$Q$8:$Q$666666&lt;DATE(YEAR(设置!$D$23),MONTH(设置!$D$23)+6,DAY(设置!$D$23)))*(企贷明细!$R$8:$R$666666&gt;(DATE(YEAR(设置!$D$23),MONTH(设置!$D$23)+6,DAY(设置!$D$23))-1))*(企贷明细!$T$8:$T$666666=0)*(企贷明细!$AB$8:$AB$666666))+SUMPRODUCT((企贷明细!$Q$8:$Q$666666&lt;设置!$J$23)*(企贷明细!$Q$8:$Q$666666&lt;DATE(YEAR(设置!$D$23),MONTH(设置!$D$23)+6,DAY(设置!$D$23)))*(企贷明细!$R$8:$R$666666&gt;(DATE(YEAR(设置!$D$23),MONTH(设置!$D$23)+6,DAY(设置!$D$23))-1))*(企贷明细!$T$8:$T$666666&gt;(DATE(YEAR(设置!$D$23),MONTH(设置!$D$23)+6,DAY(设置!$D$23))-1))*(企贷明细!$AB$8:$AB$666666))</f>
        <v>0</v>
      </c>
    </row>
    <row r="41" spans="1:7">
      <c r="A41" s="37" t="s">
        <v>303</v>
      </c>
      <c r="B41" s="25">
        <f>SUMPRODUCT((企贷明细!$Q$8:$Q$666666&lt;DATE(YEAR(设置!$D$23),MONTH(设置!$D$23)+7,DAY(设置!$D$23)))*(企贷明细!$R$8:$R$666666&gt;(DATE(YEAR(设置!$D$23),MONTH(设置!$D$23)+7,DAY(设置!$D$23))-1))*(企贷明细!$T$8:$T$666666=0)*(企贷明细!$AA$8:$AA$666666))+SUMPRODUCT(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A$8:$AA$666666))</f>
        <v>0</v>
      </c>
      <c r="C41" s="38">
        <f>SUMPRODUCT((企贷明细!$Q$8:$Q$666666&gt;=设置!$J$23)*(企贷明细!$Q$8:$Q$666666&lt;DATE(YEAR(设置!$D$23),MONTH(设置!$D$23)+7,DAY(设置!$D$23)))*(企贷明细!$R$8:$R$666666&gt;(DATE(YEAR(设置!$D$23),MONTH(设置!$D$23)+7,DAY(设置!$D$23))-1))*(企贷明细!$T$8:$T$666666=0)*(企贷明细!$AA$8:$AA$666666))+SUMPRODUCT((企贷明细!$Q$8:$Q$666666&gt;=设置!$J$23)*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A$8:$AA$666666))</f>
        <v>0</v>
      </c>
      <c r="D41" s="38">
        <f>SUMPRODUCT((企贷明细!$Q$8:$Q$666666&lt;设置!$J$23)*(企贷明细!$Q$8:$Q$666666&lt;DATE(YEAR(设置!$D$23),MONTH(设置!$D$23)+7,DAY(设置!$D$23)))*(企贷明细!$R$8:$R$666666&gt;(DATE(YEAR(设置!$D$23),MONTH(设置!$D$23)+7,DAY(设置!$D$23))-1))*(企贷明细!$T$8:$T$666666=0)*(企贷明细!$AA$8:$AA$666666))+SUMPRODUCT((企贷明细!$Q$8:$Q$666666&lt;设置!$J$23)*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A$8:$AA$666666))</f>
        <v>0</v>
      </c>
      <c r="E41" s="38">
        <f>SUMPRODUCT((企贷明细!$Q$8:$Q$666666&lt;DATE(YEAR(设置!$D$23),MONTH(设置!$D$23)+7,DAY(设置!$D$23)))*(企贷明细!$R$8:$R$666666&gt;(DATE(YEAR(设置!$D$23),MONTH(设置!$D$23)+7,DAY(设置!$D$23))-1))*(企贷明细!$T$8:$T$666666=0)*(企贷明细!$AB$8:$AB$666666))+SUMPRODUCT(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B$8:$AB$666666))</f>
        <v>0</v>
      </c>
      <c r="F41" s="38">
        <f>SUMPRODUCT((企贷明细!$Q$8:$Q$666666&gt;=设置!$J$23)*(企贷明细!$Q$8:$Q$666666&lt;DATE(YEAR(设置!$D$23),MONTH(设置!$D$23)+7,DAY(设置!$D$23)))*(企贷明细!$R$8:$R$666666&gt;(DATE(YEAR(设置!$D$23),MONTH(设置!$D$23)+7,DAY(设置!$D$23))-1))*(企贷明细!$T$8:$T$666666=0)*(企贷明细!$AB$8:$AB$666666))+SUMPRODUCT((企贷明细!$Q$8:$Q$666666&gt;=设置!$J$23)*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B$8:$AB$666666))</f>
        <v>0</v>
      </c>
      <c r="G41" s="38">
        <f>SUMPRODUCT((企贷明细!$Q$8:$Q$666666&lt;设置!$J$23)*(企贷明细!$Q$8:$Q$666666&lt;DATE(YEAR(设置!$D$23),MONTH(设置!$D$23)+7,DAY(设置!$D$23)))*(企贷明细!$R$8:$R$666666&gt;(DATE(YEAR(设置!$D$23),MONTH(设置!$D$23)+7,DAY(设置!$D$23))-1))*(企贷明细!$T$8:$T$666666=0)*(企贷明细!$AB$8:$AB$666666))+SUMPRODUCT((企贷明细!$Q$8:$Q$666666&lt;设置!$J$23)*(企贷明细!$Q$8:$Q$666666&lt;DATE(YEAR(设置!$D$23),MONTH(设置!$D$23)+7,DAY(设置!$D$23)))*(企贷明细!$R$8:$R$666666&gt;(DATE(YEAR(设置!$D$23),MONTH(设置!$D$23)+7,DAY(设置!$D$23))-1))*(企贷明细!$T$8:$T$666666&gt;(DATE(YEAR(设置!$D$23),MONTH(设置!$D$23)+7,DAY(设置!$D$23))-1))*(企贷明细!$AB$8:$AB$666666))</f>
        <v>0</v>
      </c>
    </row>
    <row r="42" spans="1:7">
      <c r="A42" s="37" t="s">
        <v>304</v>
      </c>
      <c r="B42" s="25">
        <f>SUMPRODUCT((企贷明细!$Q$8:$Q$666666&lt;DATE(YEAR(设置!$D$23),MONTH(设置!$D$23)+8,DAY(设置!$D$23)))*(企贷明细!$R$8:$R$666666&gt;(DATE(YEAR(设置!$D$23),MONTH(设置!$D$23)+8,DAY(设置!$D$23))-1))*(企贷明细!$T$8:$T$666666=0)*(企贷明细!$AA$8:$AA$666666))+SUMPRODUCT(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A$8:$AA$666666))</f>
        <v>0</v>
      </c>
      <c r="C42" s="38">
        <f>SUMPRODUCT((企贷明细!$Q$8:$Q$666666&gt;=设置!$J$23)*(企贷明细!$Q$8:$Q$666666&lt;DATE(YEAR(设置!$D$23),MONTH(设置!$D$23)+8,DAY(设置!$D$23)))*(企贷明细!$R$8:$R$666666&gt;(DATE(YEAR(设置!$D$23),MONTH(设置!$D$23)+8,DAY(设置!$D$23))-1))*(企贷明细!$T$8:$T$666666=0)*(企贷明细!$AA$8:$AA$666666))+SUMPRODUCT((企贷明细!$Q$8:$Q$666666&gt;=设置!$J$23)*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A$8:$AA$666666))</f>
        <v>0</v>
      </c>
      <c r="D42" s="38">
        <f>SUMPRODUCT((企贷明细!$Q$8:$Q$666666&lt;设置!$J$23)*(企贷明细!$Q$8:$Q$666666&lt;DATE(YEAR(设置!$D$23),MONTH(设置!$D$23)+8,DAY(设置!$D$23)))*(企贷明细!$R$8:$R$666666&gt;(DATE(YEAR(设置!$D$23),MONTH(设置!$D$23)+8,DAY(设置!$D$23))-1))*(企贷明细!$T$8:$T$666666=0)*(企贷明细!$AA$8:$AA$666666))+SUMPRODUCT((企贷明细!$Q$8:$Q$666666&lt;设置!$J$23)*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A$8:$AA$666666))</f>
        <v>0</v>
      </c>
      <c r="E42" s="38">
        <f>SUMPRODUCT((企贷明细!$Q$8:$Q$666666&lt;DATE(YEAR(设置!$D$23),MONTH(设置!$D$23)+8,DAY(设置!$D$23)))*(企贷明细!$R$8:$R$666666&gt;(DATE(YEAR(设置!$D$23),MONTH(设置!$D$23)+8,DAY(设置!$D$23))-1))*(企贷明细!$T$8:$T$666666=0)*(企贷明细!$AB$8:$AB$666666))+SUMPRODUCT(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B$8:$AB$666666))</f>
        <v>0</v>
      </c>
      <c r="F42" s="38">
        <f>SUMPRODUCT((企贷明细!$Q$8:$Q$666666&gt;=设置!$J$23)*(企贷明细!$Q$8:$Q$666666&lt;DATE(YEAR(设置!$D$23),MONTH(设置!$D$23)+8,DAY(设置!$D$23)))*(企贷明细!$R$8:$R$666666&gt;(DATE(YEAR(设置!$D$23),MONTH(设置!$D$23)+8,DAY(设置!$D$23))-1))*(企贷明细!$T$8:$T$666666=0)*(企贷明细!$AB$8:$AB$666666))+SUMPRODUCT((企贷明细!$Q$8:$Q$666666&gt;=设置!$J$23)*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B$8:$AB$666666))</f>
        <v>0</v>
      </c>
      <c r="G42" s="38">
        <f>SUMPRODUCT((企贷明细!$Q$8:$Q$666666&lt;设置!$J$23)*(企贷明细!$Q$8:$Q$666666&lt;DATE(YEAR(设置!$D$23),MONTH(设置!$D$23)+8,DAY(设置!$D$23)))*(企贷明细!$R$8:$R$666666&gt;(DATE(YEAR(设置!$D$23),MONTH(设置!$D$23)+8,DAY(设置!$D$23))-1))*(企贷明细!$T$8:$T$666666=0)*(企贷明细!$AB$8:$AB$666666))+SUMPRODUCT((企贷明细!$Q$8:$Q$666666&lt;设置!$J$23)*(企贷明细!$Q$8:$Q$666666&lt;DATE(YEAR(设置!$D$23),MONTH(设置!$D$23)+8,DAY(设置!$D$23)))*(企贷明细!$R$8:$R$666666&gt;(DATE(YEAR(设置!$D$23),MONTH(设置!$D$23)+8,DAY(设置!$D$23))-1))*(企贷明细!$T$8:$T$666666&gt;(DATE(YEAR(设置!$D$23),MONTH(设置!$D$23)+8,DAY(设置!$D$23))-1))*(企贷明细!$AB$8:$AB$666666))</f>
        <v>0</v>
      </c>
    </row>
    <row r="43" spans="1:7">
      <c r="A43" s="37" t="s">
        <v>305</v>
      </c>
      <c r="B43" s="25">
        <f>SUMPRODUCT((企贷明细!$Q$8:$Q$666666&lt;DATE(YEAR(设置!$D$23),MONTH(设置!$D$23)+9,DAY(设置!$D$23)))*(企贷明细!$R$8:$R$666666&gt;(DATE(YEAR(设置!$D$23),MONTH(设置!$D$23)+9,DAY(设置!$D$23))-1))*(企贷明细!$T$8:$T$666666=0)*(企贷明细!$AA$8:$AA$666666))+SUMPRODUCT(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A$8:$AA$666666))</f>
        <v>0</v>
      </c>
      <c r="C43" s="38">
        <f>SUMPRODUCT((企贷明细!$Q$8:$Q$666666&gt;=设置!$J$23)*(企贷明细!$Q$8:$Q$666666&lt;DATE(YEAR(设置!$D$23),MONTH(设置!$D$23)+9,DAY(设置!$D$23)))*(企贷明细!$R$8:$R$666666&gt;(DATE(YEAR(设置!$D$23),MONTH(设置!$D$23)+9,DAY(设置!$D$23))-1))*(企贷明细!$T$8:$T$666666=0)*(企贷明细!$AA$8:$AA$666666))+SUMPRODUCT((企贷明细!$Q$8:$Q$666666&gt;=设置!$J$23)*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A$8:$AA$666666))</f>
        <v>0</v>
      </c>
      <c r="D43" s="38">
        <f>SUMPRODUCT((企贷明细!$Q$8:$Q$666666&lt;设置!$J$23)*(企贷明细!$Q$8:$Q$666666&lt;DATE(YEAR(设置!$D$23),MONTH(设置!$D$23)+9,DAY(设置!$D$23)))*(企贷明细!$R$8:$R$666666&gt;(DATE(YEAR(设置!$D$23),MONTH(设置!$D$23)+9,DAY(设置!$D$23))-1))*(企贷明细!$T$8:$T$666666=0)*(企贷明细!$AA$8:$AA$666666))+SUMPRODUCT((企贷明细!$Q$8:$Q$666666&lt;设置!$J$23)*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A$8:$AA$666666))</f>
        <v>0</v>
      </c>
      <c r="E43" s="38">
        <f>SUMPRODUCT((企贷明细!$Q$8:$Q$666666&lt;DATE(YEAR(设置!$D$23),MONTH(设置!$D$23)+9,DAY(设置!$D$23)))*(企贷明细!$R$8:$R$666666&gt;(DATE(YEAR(设置!$D$23),MONTH(设置!$D$23)+9,DAY(设置!$D$23))-1))*(企贷明细!$T$8:$T$666666=0)*(企贷明细!$AB$8:$AB$666666))+SUMPRODUCT(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B$8:$AB$666666))</f>
        <v>0</v>
      </c>
      <c r="F43" s="38">
        <f>SUMPRODUCT((企贷明细!$Q$8:$Q$666666&gt;=设置!$J$23)*(企贷明细!$Q$8:$Q$666666&lt;DATE(YEAR(设置!$D$23),MONTH(设置!$D$23)+9,DAY(设置!$D$23)))*(企贷明细!$R$8:$R$666666&gt;(DATE(YEAR(设置!$D$23),MONTH(设置!$D$23)+9,DAY(设置!$D$23))-1))*(企贷明细!$T$8:$T$666666=0)*(企贷明细!$AB$8:$AB$666666))+SUMPRODUCT((企贷明细!$Q$8:$Q$666666&gt;=设置!$J$23)*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B$8:$AB$666666))</f>
        <v>0</v>
      </c>
      <c r="G43" s="38">
        <f>SUMPRODUCT((企贷明细!$Q$8:$Q$666666&lt;设置!$J$23)*(企贷明细!$Q$8:$Q$666666&lt;DATE(YEAR(设置!$D$23),MONTH(设置!$D$23)+9,DAY(设置!$D$23)))*(企贷明细!$R$8:$R$666666&gt;(DATE(YEAR(设置!$D$23),MONTH(设置!$D$23)+9,DAY(设置!$D$23))-1))*(企贷明细!$T$8:$T$666666=0)*(企贷明细!$AB$8:$AB$666666))+SUMPRODUCT((企贷明细!$Q$8:$Q$666666&lt;设置!$J$23)*(企贷明细!$Q$8:$Q$666666&lt;DATE(YEAR(设置!$D$23),MONTH(设置!$D$23)+9,DAY(设置!$D$23)))*(企贷明细!$R$8:$R$666666&gt;(DATE(YEAR(设置!$D$23),MONTH(设置!$D$23)+9,DAY(设置!$D$23))-1))*(企贷明细!$T$8:$T$666666&gt;(DATE(YEAR(设置!$D$23),MONTH(设置!$D$23)+9,DAY(设置!$D$23))-1))*(企贷明细!$AB$8:$AB$666666))</f>
        <v>0</v>
      </c>
    </row>
    <row r="44" spans="1:7">
      <c r="A44" s="37" t="s">
        <v>306</v>
      </c>
      <c r="B44" s="25">
        <f>SUMPRODUCT((企贷明细!$Q$8:$Q$666666&lt;DATE(YEAR(设置!$D$23),MONTH(设置!$D$23)+10,DAY(设置!$D$23)))*(企贷明细!$R$8:$R$666666&gt;(DATE(YEAR(设置!$D$23),MONTH(设置!$D$23)+10,DAY(设置!$D$23))-1))*(企贷明细!$T$8:$T$666666=0)*(企贷明细!$AA$8:$AA$666666))+SUMPRODUCT(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A$8:$AA$666666))</f>
        <v>0</v>
      </c>
      <c r="C44" s="38">
        <f>SUMPRODUCT((企贷明细!$Q$8:$Q$666666&gt;=设置!$J$23)*(企贷明细!$Q$8:$Q$666666&lt;DATE(YEAR(设置!$D$23),MONTH(设置!$D$23)+10,DAY(设置!$D$23)))*(企贷明细!$R$8:$R$666666&gt;(DATE(YEAR(设置!$D$23),MONTH(设置!$D$23)+10,DAY(设置!$D$23))-1))*(企贷明细!$T$8:$T$666666=0)*(企贷明细!$AA$8:$AA$666666))+SUMPRODUCT((企贷明细!$Q$8:$Q$666666&gt;=设置!$J$23)*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A$8:$AA$666666))</f>
        <v>0</v>
      </c>
      <c r="D44" s="38">
        <f>SUMPRODUCT((企贷明细!$Q$8:$Q$666666&lt;设置!$J$23)*(企贷明细!$Q$8:$Q$666666&lt;DATE(YEAR(设置!$D$23),MONTH(设置!$D$23)+10,DAY(设置!$D$23)))*(企贷明细!$R$8:$R$666666&gt;(DATE(YEAR(设置!$D$23),MONTH(设置!$D$23)+10,DAY(设置!$D$23))-1))*(企贷明细!$T$8:$T$666666=0)*(企贷明细!$AA$8:$AA$666666))+SUMPRODUCT((企贷明细!$Q$8:$Q$666666&lt;设置!$J$23)*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A$8:$AA$666666))</f>
        <v>0</v>
      </c>
      <c r="E44" s="38">
        <f>SUMPRODUCT((企贷明细!$Q$8:$Q$666666&lt;DATE(YEAR(设置!$D$23),MONTH(设置!$D$23)+10,DAY(设置!$D$23)))*(企贷明细!$R$8:$R$666666&gt;(DATE(YEAR(设置!$D$23),MONTH(设置!$D$23)+10,DAY(设置!$D$23))-1))*(企贷明细!$T$8:$T$666666=0)*(企贷明细!$AB$8:$AB$666666))+SUMPRODUCT(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B$8:$AB$666666))</f>
        <v>0</v>
      </c>
      <c r="F44" s="38">
        <f>SUMPRODUCT((企贷明细!$Q$8:$Q$666666&gt;=设置!$J$23)*(企贷明细!$Q$8:$Q$666666&lt;DATE(YEAR(设置!$D$23),MONTH(设置!$D$23)+10,DAY(设置!$D$23)))*(企贷明细!$R$8:$R$666666&gt;(DATE(YEAR(设置!$D$23),MONTH(设置!$D$23)+10,DAY(设置!$D$23))-1))*(企贷明细!$T$8:$T$666666=0)*(企贷明细!$AB$8:$AB$666666))+SUMPRODUCT((企贷明细!$Q$8:$Q$666666&gt;=设置!$J$23)*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B$8:$AB$666666))</f>
        <v>0</v>
      </c>
      <c r="G44" s="38">
        <f>SUMPRODUCT((企贷明细!$Q$8:$Q$666666&lt;设置!$J$23)*(企贷明细!$Q$8:$Q$666666&lt;DATE(YEAR(设置!$D$23),MONTH(设置!$D$23)+10,DAY(设置!$D$23)))*(企贷明细!$R$8:$R$666666&gt;(DATE(YEAR(设置!$D$23),MONTH(设置!$D$23)+10,DAY(设置!$D$23))-1))*(企贷明细!$T$8:$T$666666=0)*(企贷明细!$AB$8:$AB$666666))+SUMPRODUCT((企贷明细!$Q$8:$Q$666666&lt;设置!$J$23)*(企贷明细!$Q$8:$Q$666666&lt;DATE(YEAR(设置!$D$23),MONTH(设置!$D$23)+10,DAY(设置!$D$23)))*(企贷明细!$R$8:$R$666666&gt;(DATE(YEAR(设置!$D$23),MONTH(设置!$D$23)+10,DAY(设置!$D$23))-1))*(企贷明细!$T$8:$T$666666&gt;(DATE(YEAR(设置!$D$23),MONTH(设置!$D$23)+10,DAY(设置!$D$23))-1))*(企贷明细!$AB$8:$AB$666666))</f>
        <v>0</v>
      </c>
    </row>
    <row r="45" spans="1:7">
      <c r="A45" s="37" t="s">
        <v>307</v>
      </c>
      <c r="B45" s="25">
        <f>SUMPRODUCT((企贷明细!$Q$8:$Q$666666&lt;DATE(YEAR(设置!$D$23),MONTH(设置!$D$23)+11,DAY(设置!$D$23)))*(企贷明细!$R$8:$R$666666&gt;(DATE(YEAR(设置!$D$23),MONTH(设置!$D$23)+11,DAY(设置!$D$23))-1))*(企贷明细!$T$8:$T$666666=0)*(企贷明细!$AA$8:$AA$666666))+SUMPRODUCT(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A$8:$AA$666666))</f>
        <v>0</v>
      </c>
      <c r="C45" s="38">
        <f>SUMPRODUCT((企贷明细!$Q$8:$Q$666666&gt;=设置!$J$23)*(企贷明细!$Q$8:$Q$666666&lt;DATE(YEAR(设置!$D$23),MONTH(设置!$D$23)+11,DAY(设置!$D$23)))*(企贷明细!$R$8:$R$666666&gt;(DATE(YEAR(设置!$D$23),MONTH(设置!$D$23)+11,DAY(设置!$D$23))-1))*(企贷明细!$T$8:$T$666666=0)*(企贷明细!$AA$8:$AA$666666))+SUMPRODUCT((企贷明细!$Q$8:$Q$666666&gt;=设置!$J$23)*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A$8:$AA$666666))</f>
        <v>0</v>
      </c>
      <c r="D45" s="38">
        <f>SUMPRODUCT((企贷明细!$Q$8:$Q$666666&lt;设置!$J$23)*(企贷明细!$Q$8:$Q$666666&lt;DATE(YEAR(设置!$D$23),MONTH(设置!$D$23)+11,DAY(设置!$D$23)))*(企贷明细!$R$8:$R$666666&gt;(DATE(YEAR(设置!$D$23),MONTH(设置!$D$23)+11,DAY(设置!$D$23))-1))*(企贷明细!$T$8:$T$666666=0)*(企贷明细!$AA$8:$AA$666666))+SUMPRODUCT((企贷明细!$Q$8:$Q$666666&lt;设置!$J$23)*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A$8:$AA$666666))</f>
        <v>0</v>
      </c>
      <c r="E45" s="38">
        <f>SUMPRODUCT((企贷明细!$Q$8:$Q$666666&lt;DATE(YEAR(设置!$D$23),MONTH(设置!$D$23)+11,DAY(设置!$D$23)))*(企贷明细!$R$8:$R$666666&gt;(DATE(YEAR(设置!$D$23),MONTH(设置!$D$23)+11,DAY(设置!$D$23))-1))*(企贷明细!$T$8:$T$666666=0)*(企贷明细!$AB$8:$AB$666666))+SUMPRODUCT(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B$8:$AB$666666))</f>
        <v>0</v>
      </c>
      <c r="F45" s="38">
        <f>SUMPRODUCT((企贷明细!$Q$8:$Q$666666&gt;=设置!$J$23)*(企贷明细!$Q$8:$Q$666666&lt;DATE(YEAR(设置!$D$23),MONTH(设置!$D$23)+11,DAY(设置!$D$23)))*(企贷明细!$R$8:$R$666666&gt;(DATE(YEAR(设置!$D$23),MONTH(设置!$D$23)+11,DAY(设置!$D$23))-1))*(企贷明细!$T$8:$T$666666=0)*(企贷明细!$AB$8:$AB$666666))+SUMPRODUCT((企贷明细!$Q$8:$Q$666666&gt;=设置!$J$23)*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B$8:$AB$666666))</f>
        <v>0</v>
      </c>
      <c r="G45" s="38">
        <f>SUMPRODUCT((企贷明细!$Q$8:$Q$666666&lt;设置!$J$23)*(企贷明细!$Q$8:$Q$666666&lt;DATE(YEAR(设置!$D$23),MONTH(设置!$D$23)+11,DAY(设置!$D$23)))*(企贷明细!$R$8:$R$666666&gt;(DATE(YEAR(设置!$D$23),MONTH(设置!$D$23)+11,DAY(设置!$D$23))-1))*(企贷明细!$T$8:$T$666666=0)*(企贷明细!$AB$8:$AB$666666))+SUMPRODUCT((企贷明细!$Q$8:$Q$666666&lt;设置!$J$23)*(企贷明细!$Q$8:$Q$666666&lt;DATE(YEAR(设置!$D$23),MONTH(设置!$D$23)+11,DAY(设置!$D$23)))*(企贷明细!$R$8:$R$666666&gt;(DATE(YEAR(设置!$D$23),MONTH(设置!$D$23)+11,DAY(设置!$D$23))-1))*(企贷明细!$T$8:$T$666666&gt;(DATE(YEAR(设置!$D$23),MONTH(设置!$D$23)+11,DAY(设置!$D$23))-1))*(企贷明细!$AB$8:$AB$666666))</f>
        <v>0</v>
      </c>
    </row>
    <row r="46" spans="1:7">
      <c r="A46" s="37" t="s">
        <v>308</v>
      </c>
      <c r="B46" s="25">
        <f>SUMPRODUCT((企贷明细!$Q$8:$Q$666666&lt;DATE(YEAR(设置!$D$23),MONTH(设置!$D$23)+12,DAY(设置!$D$23)))*(企贷明细!$R$8:$R$666666&gt;(DATE(YEAR(设置!$D$23),MONTH(设置!$D$23)+12,DAY(设置!$D$23))-1))*(企贷明细!$T$8:$T$666666=0)*(企贷明细!$AA$8:$AA$666666))+SUMPRODUCT(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A$8:$AA$666666))</f>
        <v>0</v>
      </c>
      <c r="C46" s="38">
        <f>SUMPRODUCT((企贷明细!$Q$8:$Q$666666&gt;=设置!$J$23)*(企贷明细!$Q$8:$Q$666666&lt;DATE(YEAR(设置!$D$23),MONTH(设置!$D$23)+12,DAY(设置!$D$23)))*(企贷明细!$R$8:$R$666666&gt;(DATE(YEAR(设置!$D$23),MONTH(设置!$D$23)+12,DAY(设置!$D$23))-1))*(企贷明细!$T$8:$T$666666=0)*(企贷明细!$AA$8:$AA$666666))+SUMPRODUCT((企贷明细!$Q$8:$Q$666666&gt;=设置!$J$23)*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A$8:$AA$666666))</f>
        <v>0</v>
      </c>
      <c r="D46" s="38">
        <f>SUMPRODUCT((企贷明细!$Q$8:$Q$666666&lt;设置!$J$23)*(企贷明细!$Q$8:$Q$666666&lt;DATE(YEAR(设置!$D$23),MONTH(设置!$D$23)+12,DAY(设置!$D$23)))*(企贷明细!$R$8:$R$666666&gt;(DATE(YEAR(设置!$D$23),MONTH(设置!$D$23)+12,DAY(设置!$D$23))-1))*(企贷明细!$T$8:$T$666666=0)*(企贷明细!$AA$8:$AA$666666))+SUMPRODUCT((企贷明细!$Q$8:$Q$666666&lt;设置!$J$23)*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A$8:$AA$666666))</f>
        <v>0</v>
      </c>
      <c r="E46" s="38">
        <f>SUMPRODUCT((企贷明细!$Q$8:$Q$666666&lt;DATE(YEAR(设置!$D$23),MONTH(设置!$D$23)+12,DAY(设置!$D$23)))*(企贷明细!$R$8:$R$666666&gt;(DATE(YEAR(设置!$D$23),MONTH(设置!$D$23)+12,DAY(设置!$D$23))-1))*(企贷明细!$T$8:$T$666666=0)*(企贷明细!$AB$8:$AB$666666))+SUMPRODUCT(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B$8:$AB$666666))</f>
        <v>0</v>
      </c>
      <c r="F46" s="38">
        <f>SUMPRODUCT((企贷明细!$Q$8:$Q$666666&gt;=设置!$J$23)*(企贷明细!$Q$8:$Q$666666&lt;DATE(YEAR(设置!$D$23),MONTH(设置!$D$23)+12,DAY(设置!$D$23)))*(企贷明细!$R$8:$R$666666&gt;(DATE(YEAR(设置!$D$23),MONTH(设置!$D$23)+12,DAY(设置!$D$23))-1))*(企贷明细!$T$8:$T$666666=0)*(企贷明细!$AB$8:$AB$666666))+SUMPRODUCT((企贷明细!$Q$8:$Q$666666&gt;=设置!$J$23)*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B$8:$AB$666666))</f>
        <v>0</v>
      </c>
      <c r="G46" s="38">
        <f>SUMPRODUCT((企贷明细!$Q$8:$Q$666666&lt;设置!$J$23)*(企贷明细!$Q$8:$Q$666666&lt;DATE(YEAR(设置!$D$23),MONTH(设置!$D$23)+12,DAY(设置!$D$23)))*(企贷明细!$R$8:$R$666666&gt;(DATE(YEAR(设置!$D$23),MONTH(设置!$D$23)+12,DAY(设置!$D$23))-1))*(企贷明细!$T$8:$T$666666=0)*(企贷明细!$AB$8:$AB$666666))+SUMPRODUCT((企贷明细!$Q$8:$Q$666666&lt;设置!$J$23)*(企贷明细!$Q$8:$Q$666666&lt;DATE(YEAR(设置!$D$23),MONTH(设置!$D$23)+12,DAY(设置!$D$23)))*(企贷明细!$R$8:$R$666666&gt;(DATE(YEAR(设置!$D$23),MONTH(设置!$D$23)+12,DAY(设置!$D$23))-1))*(企贷明细!$T$8:$T$666666&gt;(DATE(YEAR(设置!$D$23),MONTH(设置!$D$23)+12,DAY(设置!$D$23))-1))*(企贷明细!$AB$8:$AB$666666))</f>
        <v>0</v>
      </c>
    </row>
  </sheetData>
  <sheetProtection password="CB92" sheet="1" formatColumns="0" objects="1"/>
  <mergeCells count="18">
    <mergeCell ref="A1:H1"/>
    <mergeCell ref="B4:C4"/>
    <mergeCell ref="D4:E4"/>
    <mergeCell ref="F4:G4"/>
    <mergeCell ref="B9:C9"/>
    <mergeCell ref="D9:E9"/>
    <mergeCell ref="F9:G9"/>
    <mergeCell ref="B16:G16"/>
    <mergeCell ref="B17:D17"/>
    <mergeCell ref="E17:G17"/>
    <mergeCell ref="B32:G32"/>
    <mergeCell ref="B33:D33"/>
    <mergeCell ref="E33:G33"/>
    <mergeCell ref="A4:A5"/>
    <mergeCell ref="A9:A10"/>
    <mergeCell ref="A16:A18"/>
    <mergeCell ref="A32:A34"/>
    <mergeCell ref="H5:H13"/>
  </mergeCells>
  <pageMargins left="0.751388888888889" right="0.751388888888889" top="1" bottom="1" header="0.5" footer="0.5"/>
  <pageSetup paperSize="9" orientation="landscape" horizontalDpi="600"/>
  <headerFooter>
    <oddHeader>&amp;L内部资料，禁止外传</oddHeader>
  </headerFooter>
  <rowBreaks count="1" manualBreakCount="1">
    <brk id="1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26"/>
  <sheetViews>
    <sheetView showZeros="0" workbookViewId="0">
      <pane ySplit="8" topLeftCell="A8" activePane="bottomLeft" state="frozen"/>
      <selection/>
      <selection pane="bottomLeft" activeCell="A1" sqref="A1:S1"/>
    </sheetView>
  </sheetViews>
  <sheetFormatPr defaultColWidth="9" defaultRowHeight="13.5"/>
  <cols>
    <col min="1" max="1" width="8.875" style="1" customWidth="1"/>
    <col min="2" max="2" width="6" style="1" customWidth="1"/>
    <col min="3" max="7" width="8.875" style="1" customWidth="1"/>
    <col min="8" max="8" width="6" style="1" customWidth="1"/>
    <col min="9" max="11" width="8.875" style="1" customWidth="1"/>
    <col min="12" max="12" width="6" style="1" customWidth="1"/>
    <col min="13" max="17" width="8.875" style="1" customWidth="1"/>
    <col min="18" max="18" width="6" style="1" customWidth="1"/>
    <col min="19" max="19" width="8.875" style="1" customWidth="1"/>
    <col min="20" max="16384" width="9" style="1"/>
  </cols>
  <sheetData>
    <row r="1" ht="18.75" spans="1:19">
      <c r="A1" s="2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310</v>
      </c>
      <c r="B3" s="4"/>
      <c r="C3" s="4"/>
      <c r="D3" s="4"/>
      <c r="E3" s="4"/>
      <c r="F3" s="4"/>
      <c r="G3" s="4"/>
      <c r="H3" s="4"/>
      <c r="I3" s="4"/>
      <c r="J3" s="3"/>
      <c r="K3" s="4" t="s">
        <v>311</v>
      </c>
      <c r="L3" s="4"/>
      <c r="M3" s="4"/>
      <c r="N3" s="4"/>
      <c r="O3" s="4"/>
      <c r="P3" s="4"/>
      <c r="Q3" s="4"/>
      <c r="R3" s="4"/>
      <c r="S3" s="4"/>
    </row>
    <row r="4" spans="1:19">
      <c r="A4" s="4"/>
      <c r="B4" s="4"/>
      <c r="C4" s="4"/>
      <c r="D4" s="4"/>
      <c r="E4" s="4"/>
      <c r="F4" s="4"/>
      <c r="G4" s="4"/>
      <c r="H4" s="4"/>
      <c r="I4" s="4"/>
      <c r="J4" s="3"/>
      <c r="K4" s="4"/>
      <c r="L4" s="4"/>
      <c r="M4" s="4"/>
      <c r="N4" s="4"/>
      <c r="O4" s="4"/>
      <c r="P4" s="4"/>
      <c r="Q4" s="4"/>
      <c r="R4" s="4"/>
      <c r="S4" s="4"/>
    </row>
    <row r="5" spans="1:19">
      <c r="A5" s="4"/>
      <c r="B5" s="4"/>
      <c r="C5" s="4"/>
      <c r="D5" s="4"/>
      <c r="E5" s="4"/>
      <c r="F5" s="4"/>
      <c r="G5" s="4"/>
      <c r="H5" s="4"/>
      <c r="I5" s="4"/>
      <c r="J5" s="3"/>
      <c r="K5" s="4"/>
      <c r="L5" s="4"/>
      <c r="M5" s="4"/>
      <c r="N5" s="4"/>
      <c r="O5" s="4"/>
      <c r="P5" s="4"/>
      <c r="Q5" s="4"/>
      <c r="R5" s="4"/>
      <c r="S5" s="4"/>
    </row>
    <row r="6" spans="1:19">
      <c r="A6" s="4" t="s">
        <v>179</v>
      </c>
      <c r="B6" s="5"/>
      <c r="C6" s="6" t="s">
        <v>180</v>
      </c>
      <c r="D6" s="7"/>
      <c r="E6" s="7"/>
      <c r="F6" s="7"/>
      <c r="G6" s="4" t="s">
        <v>186</v>
      </c>
      <c r="H6" s="5"/>
      <c r="I6" s="4" t="s">
        <v>188</v>
      </c>
      <c r="J6" s="3"/>
      <c r="K6" s="4" t="s">
        <v>179</v>
      </c>
      <c r="L6" s="5"/>
      <c r="M6" s="6" t="s">
        <v>180</v>
      </c>
      <c r="N6" s="7"/>
      <c r="O6" s="7"/>
      <c r="P6" s="7"/>
      <c r="Q6" s="4" t="s">
        <v>186</v>
      </c>
      <c r="R6" s="5"/>
      <c r="S6" s="4" t="s">
        <v>188</v>
      </c>
    </row>
    <row r="7" ht="27" spans="1:19">
      <c r="A7" s="4"/>
      <c r="B7" s="8"/>
      <c r="C7" s="9" t="s">
        <v>198</v>
      </c>
      <c r="D7" s="9" t="s">
        <v>199</v>
      </c>
      <c r="E7" s="10" t="s">
        <v>200</v>
      </c>
      <c r="F7" s="11" t="s">
        <v>202</v>
      </c>
      <c r="G7" s="4"/>
      <c r="H7" s="8"/>
      <c r="I7" s="4"/>
      <c r="J7" s="3"/>
      <c r="K7" s="4"/>
      <c r="L7" s="8"/>
      <c r="M7" s="9" t="s">
        <v>198</v>
      </c>
      <c r="N7" s="9" t="s">
        <v>199</v>
      </c>
      <c r="O7" s="10" t="s">
        <v>200</v>
      </c>
      <c r="P7" s="11" t="s">
        <v>202</v>
      </c>
      <c r="Q7" s="4"/>
      <c r="R7" s="8"/>
      <c r="S7" s="4"/>
    </row>
    <row r="8" spans="1:19">
      <c r="A8" s="12">
        <f>VALUE(个贷明细!$N8)</f>
        <v>0</v>
      </c>
      <c r="B8" s="13"/>
      <c r="C8" s="14">
        <f>IF(个贷明细!$P8=0,0,个贷明细!$P8+1-1)</f>
        <v>0</v>
      </c>
      <c r="D8" s="14">
        <f>IF(个贷明细!$Q8=0,0,个贷明细!$Q8+1-1)</f>
        <v>0</v>
      </c>
      <c r="E8" s="14">
        <f>IF(个贷明细!$R8=0,0,个贷明细!$R8+1-1)</f>
        <v>0</v>
      </c>
      <c r="F8" s="14">
        <f>IF(个贷明细!$T8=0,0,个贷明细!$T8+1-1)</f>
        <v>0</v>
      </c>
      <c r="G8" s="12">
        <f>VALUE(个贷明细!$U8)</f>
        <v>0</v>
      </c>
      <c r="H8" s="13"/>
      <c r="I8" s="12">
        <f>VALUE(个贷明细!$W8)</f>
        <v>0</v>
      </c>
      <c r="J8" s="3"/>
      <c r="K8" s="12">
        <f>VALUE(企贷明细!$N8)</f>
        <v>0</v>
      </c>
      <c r="L8" s="13"/>
      <c r="M8" s="14">
        <f>IF(企贷明细!$P8=0,0,企贷明细!$P8+1-1)</f>
        <v>0</v>
      </c>
      <c r="N8" s="14">
        <f>IF(企贷明细!$Q8=0,0,企贷明细!$Q8+1-1)</f>
        <v>0</v>
      </c>
      <c r="O8" s="14">
        <f>IF(企贷明细!$R8=0,0,企贷明细!$R8+1-1)</f>
        <v>0</v>
      </c>
      <c r="P8" s="14">
        <f>IF(企贷明细!$T8=0,0,企贷明细!$T8+1-1)</f>
        <v>0</v>
      </c>
      <c r="Q8" s="12">
        <f>VALUE(企贷明细!$U8)</f>
        <v>0</v>
      </c>
      <c r="R8" s="13"/>
      <c r="S8" s="12">
        <f>VALUE(企贷明细!$W8)</f>
        <v>0</v>
      </c>
    </row>
    <row r="9" spans="1:19">
      <c r="A9" s="12">
        <f>VALUE(个贷明细!$N9)</f>
        <v>0</v>
      </c>
      <c r="B9" s="13"/>
      <c r="C9" s="14">
        <v>43831</v>
      </c>
      <c r="D9" s="14">
        <f>IF(个贷明细!$Q9=0,0,个贷明细!$Q9+1-1)</f>
        <v>44595</v>
      </c>
      <c r="E9" s="14">
        <f>IF(个贷明细!$R9=0,0,个贷明细!$R9+1-1)</f>
        <v>0</v>
      </c>
      <c r="F9" s="14">
        <f>IF(个贷明细!$T9=0,0,个贷明细!$T9+1-1)</f>
        <v>0</v>
      </c>
      <c r="G9" s="12">
        <f>VALUE(个贷明细!$U9)</f>
        <v>4.15</v>
      </c>
      <c r="H9" s="13"/>
      <c r="I9" s="12">
        <f>VALUE(个贷明细!$W9)</f>
        <v>0</v>
      </c>
      <c r="J9" s="3"/>
      <c r="K9" s="12">
        <f>VALUE(企贷明细!$N9)</f>
        <v>0</v>
      </c>
      <c r="L9" s="13"/>
      <c r="M9" s="14">
        <f>IF(企贷明细!$P9=0,0,企贷明细!$P9+1-1)</f>
        <v>0</v>
      </c>
      <c r="N9" s="14">
        <f>IF(企贷明细!$Q9=0,0,企贷明细!$Q9+1-1)</f>
        <v>0</v>
      </c>
      <c r="O9" s="14">
        <f>IF(企贷明细!$R9=0,0,企贷明细!$R9+1-1)</f>
        <v>0</v>
      </c>
      <c r="P9" s="14">
        <f>IF(企贷明细!$T9=0,0,企贷明细!$T9+1-1)</f>
        <v>0</v>
      </c>
      <c r="Q9" s="12">
        <f>VALUE(企贷明细!$U9)</f>
        <v>0</v>
      </c>
      <c r="R9" s="13"/>
      <c r="S9" s="12">
        <f>VALUE(企贷明细!$W9)</f>
        <v>0</v>
      </c>
    </row>
    <row r="10" spans="1:19">
      <c r="A10" s="12">
        <f>VALUE(个贷明细!$N10)</f>
        <v>0</v>
      </c>
      <c r="B10" s="13"/>
      <c r="C10" s="14">
        <f>IF(个贷明细!$P10=0,0,个贷明细!$P10+1-1)</f>
        <v>0</v>
      </c>
      <c r="D10" s="14">
        <f>IF(个贷明细!$Q10=0,0,个贷明细!$Q10+1-1)</f>
        <v>0</v>
      </c>
      <c r="E10" s="14">
        <f>IF(个贷明细!$R10=0,0,个贷明细!$R10+1-1)</f>
        <v>0</v>
      </c>
      <c r="F10" s="14">
        <f>IF(个贷明细!$T10=0,0,个贷明细!$T10+1-1)</f>
        <v>0</v>
      </c>
      <c r="G10" s="12">
        <f>VALUE(个贷明细!$U10)</f>
        <v>0</v>
      </c>
      <c r="H10" s="13"/>
      <c r="I10" s="12">
        <f>VALUE(个贷明细!$W10)</f>
        <v>0</v>
      </c>
      <c r="J10" s="3"/>
      <c r="K10" s="12">
        <f>VALUE(企贷明细!$N10)</f>
        <v>0</v>
      </c>
      <c r="L10" s="13"/>
      <c r="M10" s="14">
        <f>IF(企贷明细!$P10=0,0,企贷明细!$P10+1-1)</f>
        <v>0</v>
      </c>
      <c r="N10" s="14">
        <f>IF(企贷明细!$Q10=0,0,企贷明细!$Q10+1-1)</f>
        <v>0</v>
      </c>
      <c r="O10" s="14">
        <f>IF(企贷明细!$R10=0,0,企贷明细!$R10+1-1)</f>
        <v>0</v>
      </c>
      <c r="P10" s="14">
        <f>IF(企贷明细!$T10=0,0,企贷明细!$T10+1-1)</f>
        <v>0</v>
      </c>
      <c r="Q10" s="12">
        <f>VALUE(企贷明细!$U10)</f>
        <v>0</v>
      </c>
      <c r="R10" s="13"/>
      <c r="S10" s="12">
        <f>VALUE(企贷明细!$W10)</f>
        <v>0</v>
      </c>
    </row>
    <row r="11" spans="1:19">
      <c r="A11" s="12">
        <f>VALUE(个贷明细!$N11)</f>
        <v>0</v>
      </c>
      <c r="B11" s="13"/>
      <c r="C11" s="14">
        <f>IF(个贷明细!$P11=0,0,个贷明细!$P11+1-1)</f>
        <v>0</v>
      </c>
      <c r="D11" s="14">
        <f>IF(个贷明细!$Q11=0,0,个贷明细!$Q11+1-1)</f>
        <v>0</v>
      </c>
      <c r="E11" s="14">
        <f>IF(个贷明细!$R11=0,0,个贷明细!$R11+1-1)</f>
        <v>0</v>
      </c>
      <c r="F11" s="14">
        <f>IF(个贷明细!$T11=0,0,个贷明细!$T11+1-1)</f>
        <v>0</v>
      </c>
      <c r="G11" s="12">
        <f>VALUE(个贷明细!$U11)</f>
        <v>0</v>
      </c>
      <c r="H11" s="13"/>
      <c r="I11" s="12">
        <f>VALUE(个贷明细!$W11)</f>
        <v>0</v>
      </c>
      <c r="J11" s="3"/>
      <c r="K11" s="12">
        <f>VALUE(企贷明细!$N11)</f>
        <v>0</v>
      </c>
      <c r="L11" s="13"/>
      <c r="M11" s="14">
        <f>IF(企贷明细!$P11=0,0,企贷明细!$P11+1-1)</f>
        <v>0</v>
      </c>
      <c r="N11" s="14">
        <f>IF(企贷明细!$Q11=0,0,企贷明细!$Q11+1-1)</f>
        <v>0</v>
      </c>
      <c r="O11" s="14">
        <f>IF(企贷明细!$R11=0,0,企贷明细!$R11+1-1)</f>
        <v>0</v>
      </c>
      <c r="P11" s="14">
        <f>IF(企贷明细!$T11=0,0,企贷明细!$T11+1-1)</f>
        <v>0</v>
      </c>
      <c r="Q11" s="12">
        <f>VALUE(企贷明细!$U11)</f>
        <v>0</v>
      </c>
      <c r="R11" s="13"/>
      <c r="S11" s="12">
        <f>VALUE(企贷明细!$W11)</f>
        <v>0</v>
      </c>
    </row>
    <row r="12" spans="1:19">
      <c r="A12" s="12">
        <f>VALUE(个贷明细!$N12)</f>
        <v>0</v>
      </c>
      <c r="B12" s="13"/>
      <c r="C12" s="14">
        <f>IF(个贷明细!$P12=0,0,个贷明细!$P12+1-1)</f>
        <v>0</v>
      </c>
      <c r="D12" s="14">
        <f>IF(个贷明细!$Q12=0,0,个贷明细!$Q12+1-1)</f>
        <v>0</v>
      </c>
      <c r="E12" s="14">
        <f>IF(个贷明细!$R12=0,0,个贷明细!$R12+1-1)</f>
        <v>0</v>
      </c>
      <c r="F12" s="14">
        <f>IF(个贷明细!$T12=0,0,个贷明细!$T12+1-1)</f>
        <v>0</v>
      </c>
      <c r="G12" s="12">
        <f>VALUE(个贷明细!$U12)</f>
        <v>0</v>
      </c>
      <c r="H12" s="13"/>
      <c r="I12" s="12">
        <f>VALUE(个贷明细!$W12)</f>
        <v>0</v>
      </c>
      <c r="J12" s="3"/>
      <c r="K12" s="12">
        <f>VALUE(企贷明细!$N12)</f>
        <v>0</v>
      </c>
      <c r="L12" s="13"/>
      <c r="M12" s="14">
        <f>IF(企贷明细!$P12=0,0,企贷明细!$P12+1-1)</f>
        <v>0</v>
      </c>
      <c r="N12" s="14">
        <f>IF(企贷明细!$Q12=0,0,企贷明细!$Q12+1-1)</f>
        <v>0</v>
      </c>
      <c r="O12" s="14">
        <f>IF(企贷明细!$R12=0,0,企贷明细!$R12+1-1)</f>
        <v>0</v>
      </c>
      <c r="P12" s="14">
        <f>IF(企贷明细!$T12=0,0,企贷明细!$T12+1-1)</f>
        <v>0</v>
      </c>
      <c r="Q12" s="12">
        <f>VALUE(企贷明细!$U12)</f>
        <v>0</v>
      </c>
      <c r="R12" s="13"/>
      <c r="S12" s="12">
        <f>VALUE(企贷明细!$W12)</f>
        <v>0</v>
      </c>
    </row>
    <row r="13" spans="1:19">
      <c r="A13" s="12">
        <f>VALUE(个贷明细!$N13)</f>
        <v>0</v>
      </c>
      <c r="B13" s="13"/>
      <c r="C13" s="14">
        <f>IF(个贷明细!$P13=0,0,个贷明细!$P13+1-1)</f>
        <v>0</v>
      </c>
      <c r="D13" s="14">
        <f>IF(个贷明细!$Q13=0,0,个贷明细!$Q13+1-1)</f>
        <v>0</v>
      </c>
      <c r="E13" s="14">
        <f>IF(个贷明细!$R13=0,0,个贷明细!$R13+1-1)</f>
        <v>0</v>
      </c>
      <c r="F13" s="14">
        <f>IF(个贷明细!$T13=0,0,个贷明细!$T13+1-1)</f>
        <v>0</v>
      </c>
      <c r="G13" s="12">
        <f>VALUE(个贷明细!$U13)</f>
        <v>0</v>
      </c>
      <c r="H13" s="13"/>
      <c r="I13" s="12">
        <f>VALUE(个贷明细!$W13)</f>
        <v>0</v>
      </c>
      <c r="J13" s="3"/>
      <c r="K13" s="12">
        <f>VALUE(企贷明细!$N13)</f>
        <v>0</v>
      </c>
      <c r="L13" s="13"/>
      <c r="M13" s="14">
        <f>IF(企贷明细!$P13=0,0,企贷明细!$P13+1-1)</f>
        <v>0</v>
      </c>
      <c r="N13" s="14">
        <f>IF(企贷明细!$Q13=0,0,企贷明细!$Q13+1-1)</f>
        <v>0</v>
      </c>
      <c r="O13" s="14">
        <f>IF(企贷明细!$R13=0,0,企贷明细!$R13+1-1)</f>
        <v>0</v>
      </c>
      <c r="P13" s="14">
        <f>IF(企贷明细!$T13=0,0,企贷明细!$T13+1-1)</f>
        <v>0</v>
      </c>
      <c r="Q13" s="12">
        <f>VALUE(企贷明细!$U13)</f>
        <v>0</v>
      </c>
      <c r="R13" s="13"/>
      <c r="S13" s="12">
        <f>VALUE(企贷明细!$W13)</f>
        <v>0</v>
      </c>
    </row>
    <row r="14" spans="1:19">
      <c r="A14" s="12">
        <f>VALUE(个贷明细!$N14)</f>
        <v>0</v>
      </c>
      <c r="B14" s="13"/>
      <c r="C14" s="14">
        <f>IF(个贷明细!$P14=0,0,个贷明细!$P14+1-1)</f>
        <v>0</v>
      </c>
      <c r="D14" s="14">
        <f>IF(个贷明细!$Q14=0,0,个贷明细!$Q14+1-1)</f>
        <v>0</v>
      </c>
      <c r="E14" s="14">
        <f>IF(个贷明细!$R14=0,0,个贷明细!$R14+1-1)</f>
        <v>0</v>
      </c>
      <c r="F14" s="14">
        <f>IF(个贷明细!$T14=0,0,个贷明细!$T14+1-1)</f>
        <v>0</v>
      </c>
      <c r="G14" s="12">
        <f>VALUE(个贷明细!$U14)</f>
        <v>0</v>
      </c>
      <c r="H14" s="13"/>
      <c r="I14" s="12">
        <f>VALUE(个贷明细!$W14)</f>
        <v>0</v>
      </c>
      <c r="J14" s="3"/>
      <c r="K14" s="12">
        <f>VALUE(企贷明细!$N14)</f>
        <v>0</v>
      </c>
      <c r="L14" s="13"/>
      <c r="M14" s="14">
        <f>IF(企贷明细!$P14=0,0,企贷明细!$P14+1-1)</f>
        <v>0</v>
      </c>
      <c r="N14" s="14">
        <f>IF(企贷明细!$Q14=0,0,企贷明细!$Q14+1-1)</f>
        <v>0</v>
      </c>
      <c r="O14" s="14">
        <f>IF(企贷明细!$R14=0,0,企贷明细!$R14+1-1)</f>
        <v>0</v>
      </c>
      <c r="P14" s="14">
        <f>IF(企贷明细!$T14=0,0,企贷明细!$T14+1-1)</f>
        <v>0</v>
      </c>
      <c r="Q14" s="12">
        <f>VALUE(企贷明细!$U14)</f>
        <v>0</v>
      </c>
      <c r="R14" s="13"/>
      <c r="S14" s="12">
        <f>VALUE(企贷明细!$W14)</f>
        <v>0</v>
      </c>
    </row>
    <row r="15" spans="1:19">
      <c r="A15" s="12">
        <f>VALUE(个贷明细!$N15)</f>
        <v>0</v>
      </c>
      <c r="B15" s="13"/>
      <c r="C15" s="14">
        <f>IF(个贷明细!$P15=0,0,个贷明细!$P15+1-1)</f>
        <v>0</v>
      </c>
      <c r="D15" s="14">
        <f>IF(个贷明细!$Q15=0,0,个贷明细!$Q15+1-1)</f>
        <v>0</v>
      </c>
      <c r="E15" s="14">
        <f>IF(个贷明细!$R15=0,0,个贷明细!$R15+1-1)</f>
        <v>0</v>
      </c>
      <c r="F15" s="14">
        <f>IF(个贷明细!$T15=0,0,个贷明细!$T15+1-1)</f>
        <v>0</v>
      </c>
      <c r="G15" s="12">
        <f>VALUE(个贷明细!$U15)</f>
        <v>0</v>
      </c>
      <c r="H15" s="13"/>
      <c r="I15" s="12">
        <f>VALUE(个贷明细!$W15)</f>
        <v>0</v>
      </c>
      <c r="J15" s="3"/>
      <c r="K15" s="12">
        <f>VALUE(企贷明细!$N15)</f>
        <v>0</v>
      </c>
      <c r="L15" s="13"/>
      <c r="M15" s="14">
        <f>IF(企贷明细!$P15=0,0,企贷明细!$P15+1-1)</f>
        <v>0</v>
      </c>
      <c r="N15" s="14">
        <f>IF(企贷明细!$Q15=0,0,企贷明细!$Q15+1-1)</f>
        <v>0</v>
      </c>
      <c r="O15" s="14">
        <f>IF(企贷明细!$R15=0,0,企贷明细!$R15+1-1)</f>
        <v>0</v>
      </c>
      <c r="P15" s="14">
        <f>IF(企贷明细!$T15=0,0,企贷明细!$T15+1-1)</f>
        <v>0</v>
      </c>
      <c r="Q15" s="12">
        <f>VALUE(企贷明细!$U15)</f>
        <v>0</v>
      </c>
      <c r="R15" s="13"/>
      <c r="S15" s="12">
        <f>VALUE(企贷明细!$W15)</f>
        <v>0</v>
      </c>
    </row>
    <row r="16" spans="1:19">
      <c r="A16" s="12">
        <f>VALUE(个贷明细!$N16)</f>
        <v>0</v>
      </c>
      <c r="B16" s="13"/>
      <c r="C16" s="14">
        <f>IF(个贷明细!$P16=0,0,个贷明细!$P16+1-1)</f>
        <v>0</v>
      </c>
      <c r="D16" s="14">
        <f>IF(个贷明细!$Q16=0,0,个贷明细!$Q16+1-1)</f>
        <v>0</v>
      </c>
      <c r="E16" s="14">
        <f>IF(个贷明细!$R16=0,0,个贷明细!$R16+1-1)</f>
        <v>0</v>
      </c>
      <c r="F16" s="14">
        <f>IF(个贷明细!$T16=0,0,个贷明细!$T16+1-1)</f>
        <v>0</v>
      </c>
      <c r="G16" s="12">
        <f>VALUE(个贷明细!$U16)</f>
        <v>0</v>
      </c>
      <c r="H16" s="13"/>
      <c r="I16" s="12">
        <f>VALUE(个贷明细!$W16)</f>
        <v>0</v>
      </c>
      <c r="J16" s="3"/>
      <c r="K16" s="12">
        <f>VALUE(企贷明细!$N16)</f>
        <v>0</v>
      </c>
      <c r="L16" s="13"/>
      <c r="M16" s="14">
        <f>IF(企贷明细!$P16=0,0,企贷明细!$P16+1-1)</f>
        <v>0</v>
      </c>
      <c r="N16" s="14">
        <f>IF(企贷明细!$Q16=0,0,企贷明细!$Q16+1-1)</f>
        <v>0</v>
      </c>
      <c r="O16" s="14">
        <f>IF(企贷明细!$R16=0,0,企贷明细!$R16+1-1)</f>
        <v>0</v>
      </c>
      <c r="P16" s="14">
        <f>IF(企贷明细!$T16=0,0,企贷明细!$T16+1-1)</f>
        <v>0</v>
      </c>
      <c r="Q16" s="12">
        <f>VALUE(企贷明细!$U16)</f>
        <v>0</v>
      </c>
      <c r="R16" s="13"/>
      <c r="S16" s="12">
        <f>VALUE(企贷明细!$W16)</f>
        <v>0</v>
      </c>
    </row>
    <row r="17" spans="1:19">
      <c r="A17" s="12">
        <f>VALUE(个贷明细!$N17)</f>
        <v>0</v>
      </c>
      <c r="B17" s="13"/>
      <c r="C17" s="14">
        <f>IF(个贷明细!$P17=0,0,个贷明细!$P17+1-1)</f>
        <v>0</v>
      </c>
      <c r="D17" s="14">
        <f>IF(个贷明细!$Q17=0,0,个贷明细!$Q17+1-1)</f>
        <v>0</v>
      </c>
      <c r="E17" s="14">
        <f>IF(个贷明细!$R17=0,0,个贷明细!$R17+1-1)</f>
        <v>0</v>
      </c>
      <c r="F17" s="14">
        <f>IF(个贷明细!$T17=0,0,个贷明细!$T17+1-1)</f>
        <v>0</v>
      </c>
      <c r="G17" s="12">
        <f>VALUE(个贷明细!$U17)</f>
        <v>0</v>
      </c>
      <c r="H17" s="13"/>
      <c r="I17" s="12">
        <f>VALUE(个贷明细!$W17)</f>
        <v>0</v>
      </c>
      <c r="J17" s="3"/>
      <c r="K17" s="12">
        <f>VALUE(企贷明细!$N17)</f>
        <v>0</v>
      </c>
      <c r="L17" s="13"/>
      <c r="M17" s="14">
        <f>IF(企贷明细!$P17=0,0,企贷明细!$P17+1-1)</f>
        <v>0</v>
      </c>
      <c r="N17" s="14">
        <f>IF(企贷明细!$Q17=0,0,企贷明细!$Q17+1-1)</f>
        <v>0</v>
      </c>
      <c r="O17" s="14">
        <f>IF(企贷明细!$R17=0,0,企贷明细!$R17+1-1)</f>
        <v>0</v>
      </c>
      <c r="P17" s="14">
        <f>IF(企贷明细!$T17=0,0,企贷明细!$T17+1-1)</f>
        <v>0</v>
      </c>
      <c r="Q17" s="12">
        <f>VALUE(企贷明细!$U17)</f>
        <v>0</v>
      </c>
      <c r="R17" s="13"/>
      <c r="S17" s="12">
        <f>VALUE(企贷明细!$W17)</f>
        <v>0</v>
      </c>
    </row>
    <row r="18" spans="1:19">
      <c r="A18" s="12">
        <f>VALUE(个贷明细!$N18)</f>
        <v>0</v>
      </c>
      <c r="B18" s="13"/>
      <c r="C18" s="14">
        <f>IF(个贷明细!$P18=0,0,个贷明细!$P18+1-1)</f>
        <v>0</v>
      </c>
      <c r="D18" s="14">
        <f>IF(个贷明细!$Q18=0,0,个贷明细!$Q18+1-1)</f>
        <v>0</v>
      </c>
      <c r="E18" s="14">
        <f>IF(个贷明细!$R18=0,0,个贷明细!$R18+1-1)</f>
        <v>0</v>
      </c>
      <c r="F18" s="14">
        <f>IF(个贷明细!$T18=0,0,个贷明细!$T18+1-1)</f>
        <v>0</v>
      </c>
      <c r="G18" s="12">
        <f>VALUE(个贷明细!$U18)</f>
        <v>0</v>
      </c>
      <c r="H18" s="13"/>
      <c r="I18" s="12">
        <f>VALUE(个贷明细!$W18)</f>
        <v>0</v>
      </c>
      <c r="J18" s="3"/>
      <c r="K18" s="12">
        <f>VALUE(企贷明细!$N18)</f>
        <v>0</v>
      </c>
      <c r="L18" s="13"/>
      <c r="M18" s="14">
        <f>IF(企贷明细!$P18=0,0,企贷明细!$P18+1-1)</f>
        <v>0</v>
      </c>
      <c r="N18" s="14">
        <f>IF(企贷明细!$Q18=0,0,企贷明细!$Q18+1-1)</f>
        <v>0</v>
      </c>
      <c r="O18" s="14">
        <f>IF(企贷明细!$R18=0,0,企贷明细!$R18+1-1)</f>
        <v>0</v>
      </c>
      <c r="P18" s="14">
        <f>IF(企贷明细!$T18=0,0,企贷明细!$T18+1-1)</f>
        <v>0</v>
      </c>
      <c r="Q18" s="12">
        <f>VALUE(企贷明细!$U18)</f>
        <v>0</v>
      </c>
      <c r="R18" s="13"/>
      <c r="S18" s="12">
        <f>VALUE(企贷明细!$W18)</f>
        <v>0</v>
      </c>
    </row>
    <row r="19" spans="1:19">
      <c r="A19" s="12">
        <f>VALUE(个贷明细!$N19)</f>
        <v>0</v>
      </c>
      <c r="B19" s="13"/>
      <c r="C19" s="14">
        <f>IF(个贷明细!$P19=0,0,个贷明细!$P19+1-1)</f>
        <v>0</v>
      </c>
      <c r="D19" s="14">
        <f>IF(个贷明细!$Q19=0,0,个贷明细!$Q19+1-1)</f>
        <v>0</v>
      </c>
      <c r="E19" s="14">
        <f>IF(个贷明细!$R19=0,0,个贷明细!$R19+1-1)</f>
        <v>0</v>
      </c>
      <c r="F19" s="14">
        <f>IF(个贷明细!$T19=0,0,个贷明细!$T19+1-1)</f>
        <v>0</v>
      </c>
      <c r="G19" s="12">
        <f>VALUE(个贷明细!$U19)</f>
        <v>0</v>
      </c>
      <c r="H19" s="13"/>
      <c r="I19" s="12">
        <f>VALUE(个贷明细!$W19)</f>
        <v>0</v>
      </c>
      <c r="J19" s="3"/>
      <c r="K19" s="12">
        <f>VALUE(企贷明细!$N19)</f>
        <v>0</v>
      </c>
      <c r="L19" s="13"/>
      <c r="M19" s="14">
        <f>IF(企贷明细!$P19=0,0,企贷明细!$P19+1-1)</f>
        <v>0</v>
      </c>
      <c r="N19" s="14">
        <f>IF(企贷明细!$Q19=0,0,企贷明细!$Q19+1-1)</f>
        <v>0</v>
      </c>
      <c r="O19" s="14">
        <f>IF(企贷明细!$R19=0,0,企贷明细!$R19+1-1)</f>
        <v>0</v>
      </c>
      <c r="P19" s="14">
        <f>IF(企贷明细!$T19=0,0,企贷明细!$T19+1-1)</f>
        <v>0</v>
      </c>
      <c r="Q19" s="12">
        <f>VALUE(企贷明细!$U19)</f>
        <v>0</v>
      </c>
      <c r="R19" s="13"/>
      <c r="S19" s="12">
        <f>VALUE(企贷明细!$W19)</f>
        <v>0</v>
      </c>
    </row>
    <row r="20" spans="1:19">
      <c r="A20" s="12">
        <f>VALUE(个贷明细!$N20)</f>
        <v>0</v>
      </c>
      <c r="B20" s="13"/>
      <c r="C20" s="14">
        <f>IF(个贷明细!$P20=0,0,个贷明细!$P20+1-1)</f>
        <v>0</v>
      </c>
      <c r="D20" s="14">
        <f>IF(个贷明细!$Q20=0,0,个贷明细!$Q20+1-1)</f>
        <v>0</v>
      </c>
      <c r="E20" s="14">
        <f>IF(个贷明细!$R20=0,0,个贷明细!$R20+1-1)</f>
        <v>0</v>
      </c>
      <c r="F20" s="14">
        <f>IF(个贷明细!$T20=0,0,个贷明细!$T20+1-1)</f>
        <v>0</v>
      </c>
      <c r="G20" s="12">
        <f>VALUE(个贷明细!$U20)</f>
        <v>0</v>
      </c>
      <c r="H20" s="13"/>
      <c r="I20" s="12">
        <f>VALUE(个贷明细!$W20)</f>
        <v>0</v>
      </c>
      <c r="J20" s="3"/>
      <c r="K20" s="12">
        <f>VALUE(企贷明细!$N20)</f>
        <v>0</v>
      </c>
      <c r="L20" s="13"/>
      <c r="M20" s="14">
        <f>IF(企贷明细!$P20=0,0,企贷明细!$P20+1-1)</f>
        <v>0</v>
      </c>
      <c r="N20" s="14">
        <f>IF(企贷明细!$Q20=0,0,企贷明细!$Q20+1-1)</f>
        <v>0</v>
      </c>
      <c r="O20" s="14">
        <f>IF(企贷明细!$R20=0,0,企贷明细!$R20+1-1)</f>
        <v>0</v>
      </c>
      <c r="P20" s="14">
        <f>IF(企贷明细!$T20=0,0,企贷明细!$T20+1-1)</f>
        <v>0</v>
      </c>
      <c r="Q20" s="12">
        <f>VALUE(企贷明细!$U20)</f>
        <v>0</v>
      </c>
      <c r="R20" s="13"/>
      <c r="S20" s="12">
        <f>VALUE(企贷明细!$W20)</f>
        <v>0</v>
      </c>
    </row>
    <row r="21" spans="1:19">
      <c r="A21" s="12">
        <f>VALUE(个贷明细!$N21)</f>
        <v>0</v>
      </c>
      <c r="B21" s="13"/>
      <c r="C21" s="14">
        <f>IF(个贷明细!$P21=0,0,个贷明细!$P21+1-1)</f>
        <v>0</v>
      </c>
      <c r="D21" s="14">
        <f>IF(个贷明细!$Q21=0,0,个贷明细!$Q21+1-1)</f>
        <v>0</v>
      </c>
      <c r="E21" s="14">
        <f>IF(个贷明细!$R21=0,0,个贷明细!$R21+1-1)</f>
        <v>0</v>
      </c>
      <c r="F21" s="14">
        <f>IF(个贷明细!$T21=0,0,个贷明细!$T21+1-1)</f>
        <v>0</v>
      </c>
      <c r="G21" s="12">
        <f>VALUE(个贷明细!$U21)</f>
        <v>0</v>
      </c>
      <c r="H21" s="13"/>
      <c r="I21" s="12">
        <f>VALUE(个贷明细!$W21)</f>
        <v>0</v>
      </c>
      <c r="J21" s="3"/>
      <c r="K21" s="12">
        <f>VALUE(企贷明细!$N21)</f>
        <v>0</v>
      </c>
      <c r="L21" s="13"/>
      <c r="M21" s="14">
        <f>IF(企贷明细!$P21=0,0,企贷明细!$P21+1-1)</f>
        <v>0</v>
      </c>
      <c r="N21" s="14">
        <f>IF(企贷明细!$Q21=0,0,企贷明细!$Q21+1-1)</f>
        <v>0</v>
      </c>
      <c r="O21" s="14">
        <f>IF(企贷明细!$R21=0,0,企贷明细!$R21+1-1)</f>
        <v>0</v>
      </c>
      <c r="P21" s="14">
        <f>IF(企贷明细!$T21=0,0,企贷明细!$T21+1-1)</f>
        <v>0</v>
      </c>
      <c r="Q21" s="12">
        <f>VALUE(企贷明细!$U21)</f>
        <v>0</v>
      </c>
      <c r="R21" s="13"/>
      <c r="S21" s="12">
        <f>VALUE(企贷明细!$W21)</f>
        <v>0</v>
      </c>
    </row>
    <row r="22" spans="1:19">
      <c r="A22" s="12">
        <f>VALUE(个贷明细!$N22)</f>
        <v>0</v>
      </c>
      <c r="B22" s="13"/>
      <c r="C22" s="14">
        <f>IF(个贷明细!$P22=0,0,个贷明细!$P22+1-1)</f>
        <v>0</v>
      </c>
      <c r="D22" s="14">
        <f>IF(个贷明细!$Q22=0,0,个贷明细!$Q22+1-1)</f>
        <v>0</v>
      </c>
      <c r="E22" s="14">
        <f>IF(个贷明细!$R22=0,0,个贷明细!$R22+1-1)</f>
        <v>0</v>
      </c>
      <c r="F22" s="14">
        <f>IF(个贷明细!$T22=0,0,个贷明细!$T22+1-1)</f>
        <v>0</v>
      </c>
      <c r="G22" s="12">
        <f>VALUE(个贷明细!$U22)</f>
        <v>0</v>
      </c>
      <c r="H22" s="13"/>
      <c r="I22" s="12">
        <f>VALUE(个贷明细!$W22)</f>
        <v>0</v>
      </c>
      <c r="J22" s="3"/>
      <c r="K22" s="12">
        <f>VALUE(企贷明细!$N22)</f>
        <v>0</v>
      </c>
      <c r="L22" s="13"/>
      <c r="M22" s="14">
        <f>IF(企贷明细!$P22=0,0,企贷明细!$P22+1-1)</f>
        <v>0</v>
      </c>
      <c r="N22" s="14">
        <f>IF(企贷明细!$Q22=0,0,企贷明细!$Q22+1-1)</f>
        <v>0</v>
      </c>
      <c r="O22" s="14">
        <f>IF(企贷明细!$R22=0,0,企贷明细!$R22+1-1)</f>
        <v>0</v>
      </c>
      <c r="P22" s="14">
        <f>IF(企贷明细!$T22=0,0,企贷明细!$T22+1-1)</f>
        <v>0</v>
      </c>
      <c r="Q22" s="12">
        <f>VALUE(企贷明细!$U22)</f>
        <v>0</v>
      </c>
      <c r="R22" s="13"/>
      <c r="S22" s="12">
        <f>VALUE(企贷明细!$W22)</f>
        <v>0</v>
      </c>
    </row>
    <row r="23" spans="1:19">
      <c r="A23" s="12">
        <f>VALUE(个贷明细!$N23)</f>
        <v>0</v>
      </c>
      <c r="B23" s="13"/>
      <c r="C23" s="14">
        <f>IF(个贷明细!$P23=0,0,个贷明细!$P23+1-1)</f>
        <v>0</v>
      </c>
      <c r="D23" s="14">
        <f>IF(个贷明细!$Q23=0,0,个贷明细!$Q23+1-1)</f>
        <v>0</v>
      </c>
      <c r="E23" s="14">
        <f>IF(个贷明细!$R23=0,0,个贷明细!$R23+1-1)</f>
        <v>0</v>
      </c>
      <c r="F23" s="14">
        <f>IF(个贷明细!$T23=0,0,个贷明细!$T23+1-1)</f>
        <v>0</v>
      </c>
      <c r="G23" s="12">
        <f>VALUE(个贷明细!$U23)</f>
        <v>0</v>
      </c>
      <c r="H23" s="13"/>
      <c r="I23" s="12">
        <f>VALUE(个贷明细!$W23)</f>
        <v>0</v>
      </c>
      <c r="J23" s="3"/>
      <c r="K23" s="12">
        <f>VALUE(企贷明细!$N23)</f>
        <v>0</v>
      </c>
      <c r="L23" s="13"/>
      <c r="M23" s="14">
        <f>IF(企贷明细!$P23=0,0,企贷明细!$P23+1-1)</f>
        <v>0</v>
      </c>
      <c r="N23" s="14">
        <f>IF(企贷明细!$Q23=0,0,企贷明细!$Q23+1-1)</f>
        <v>0</v>
      </c>
      <c r="O23" s="14">
        <f>IF(企贷明细!$R23=0,0,企贷明细!$R23+1-1)</f>
        <v>0</v>
      </c>
      <c r="P23" s="14">
        <f>IF(企贷明细!$T23=0,0,企贷明细!$T23+1-1)</f>
        <v>0</v>
      </c>
      <c r="Q23" s="12">
        <f>VALUE(企贷明细!$U23)</f>
        <v>0</v>
      </c>
      <c r="R23" s="13"/>
      <c r="S23" s="12">
        <f>VALUE(企贷明细!$W23)</f>
        <v>0</v>
      </c>
    </row>
    <row r="24" spans="1:19">
      <c r="A24" s="12">
        <f>VALUE(个贷明细!$N24)</f>
        <v>0</v>
      </c>
      <c r="B24" s="13"/>
      <c r="C24" s="14">
        <f>IF(个贷明细!$P24=0,0,个贷明细!$P24+1-1)</f>
        <v>0</v>
      </c>
      <c r="D24" s="14">
        <f>IF(个贷明细!$Q24=0,0,个贷明细!$Q24+1-1)</f>
        <v>0</v>
      </c>
      <c r="E24" s="14">
        <f>IF(个贷明细!$R24=0,0,个贷明细!$R24+1-1)</f>
        <v>0</v>
      </c>
      <c r="F24" s="14">
        <f>IF(个贷明细!$T24=0,0,个贷明细!$T24+1-1)</f>
        <v>0</v>
      </c>
      <c r="G24" s="12">
        <f>VALUE(个贷明细!$U24)</f>
        <v>0</v>
      </c>
      <c r="H24" s="13"/>
      <c r="I24" s="12">
        <f>VALUE(个贷明细!$W24)</f>
        <v>0</v>
      </c>
      <c r="J24" s="3"/>
      <c r="K24" s="12">
        <f>VALUE(企贷明细!$N24)</f>
        <v>0</v>
      </c>
      <c r="L24" s="13"/>
      <c r="M24" s="14">
        <f>IF(企贷明细!$P24=0,0,企贷明细!$P24+1-1)</f>
        <v>0</v>
      </c>
      <c r="N24" s="14">
        <f>IF(企贷明细!$Q24=0,0,企贷明细!$Q24+1-1)</f>
        <v>0</v>
      </c>
      <c r="O24" s="14">
        <f>IF(企贷明细!$R24=0,0,企贷明细!$R24+1-1)</f>
        <v>0</v>
      </c>
      <c r="P24" s="14">
        <f>IF(企贷明细!$T24=0,0,企贷明细!$T24+1-1)</f>
        <v>0</v>
      </c>
      <c r="Q24" s="12">
        <f>VALUE(企贷明细!$U24)</f>
        <v>0</v>
      </c>
      <c r="R24" s="13"/>
      <c r="S24" s="12">
        <f>VALUE(企贷明细!$W24)</f>
        <v>0</v>
      </c>
    </row>
    <row r="25" spans="1:19">
      <c r="A25" s="12">
        <f>VALUE(个贷明细!$N25)</f>
        <v>0</v>
      </c>
      <c r="B25" s="13"/>
      <c r="C25" s="14">
        <f>IF(个贷明细!$P25=0,0,个贷明细!$P25+1-1)</f>
        <v>0</v>
      </c>
      <c r="D25" s="14">
        <f>IF(个贷明细!$Q25=0,0,个贷明细!$Q25+1-1)</f>
        <v>0</v>
      </c>
      <c r="E25" s="14">
        <f>IF(个贷明细!$R25=0,0,个贷明细!$R25+1-1)</f>
        <v>0</v>
      </c>
      <c r="F25" s="14">
        <f>IF(个贷明细!$T25=0,0,个贷明细!$T25+1-1)</f>
        <v>0</v>
      </c>
      <c r="G25" s="12">
        <f>VALUE(个贷明细!$U25)</f>
        <v>0</v>
      </c>
      <c r="H25" s="13"/>
      <c r="I25" s="12">
        <f>VALUE(个贷明细!$W25)</f>
        <v>0</v>
      </c>
      <c r="J25" s="3"/>
      <c r="K25" s="12">
        <f>VALUE(企贷明细!$N25)</f>
        <v>0</v>
      </c>
      <c r="L25" s="13"/>
      <c r="M25" s="14">
        <f>IF(企贷明细!$P25=0,0,企贷明细!$P25+1-1)</f>
        <v>0</v>
      </c>
      <c r="N25" s="14">
        <f>IF(企贷明细!$Q25=0,0,企贷明细!$Q25+1-1)</f>
        <v>0</v>
      </c>
      <c r="O25" s="14">
        <f>IF(企贷明细!$R25=0,0,企贷明细!$R25+1-1)</f>
        <v>0</v>
      </c>
      <c r="P25" s="14">
        <f>IF(企贷明细!$T25=0,0,企贷明细!$T25+1-1)</f>
        <v>0</v>
      </c>
      <c r="Q25" s="12">
        <f>VALUE(企贷明细!$U25)</f>
        <v>0</v>
      </c>
      <c r="R25" s="13"/>
      <c r="S25" s="12">
        <f>VALUE(企贷明细!$W25)</f>
        <v>0</v>
      </c>
    </row>
    <row r="26" spans="1:19">
      <c r="A26" s="12">
        <f>VALUE(个贷明细!$N26)</f>
        <v>0</v>
      </c>
      <c r="B26" s="13"/>
      <c r="C26" s="14">
        <f>IF(个贷明细!$P26=0,0,个贷明细!$P26+1-1)</f>
        <v>0</v>
      </c>
      <c r="D26" s="14">
        <f>IF(个贷明细!$Q26=0,0,个贷明细!$Q26+1-1)</f>
        <v>0</v>
      </c>
      <c r="E26" s="14">
        <f>IF(个贷明细!$R26=0,0,个贷明细!$R26+1-1)</f>
        <v>0</v>
      </c>
      <c r="F26" s="14">
        <f>IF(个贷明细!$T26=0,0,个贷明细!$T26+1-1)</f>
        <v>0</v>
      </c>
      <c r="G26" s="12">
        <f>VALUE(个贷明细!$U26)</f>
        <v>0</v>
      </c>
      <c r="H26" s="13"/>
      <c r="I26" s="12">
        <f>VALUE(个贷明细!$W26)</f>
        <v>0</v>
      </c>
      <c r="J26" s="3"/>
      <c r="K26" s="12">
        <f>VALUE(企贷明细!$N26)</f>
        <v>0</v>
      </c>
      <c r="L26" s="13"/>
      <c r="M26" s="14">
        <f>IF(企贷明细!$P26=0,0,企贷明细!$P26+1-1)</f>
        <v>0</v>
      </c>
      <c r="N26" s="14">
        <f>IF(企贷明细!$Q26=0,0,企贷明细!$Q26+1-1)</f>
        <v>0</v>
      </c>
      <c r="O26" s="14">
        <f>IF(企贷明细!$R26=0,0,企贷明细!$R26+1-1)</f>
        <v>0</v>
      </c>
      <c r="P26" s="14">
        <f>IF(企贷明细!$T26=0,0,企贷明细!$T26+1-1)</f>
        <v>0</v>
      </c>
      <c r="Q26" s="12">
        <f>VALUE(企贷明细!$U26)</f>
        <v>0</v>
      </c>
      <c r="R26" s="13"/>
      <c r="S26" s="12">
        <f>VALUE(企贷明细!$W26)</f>
        <v>0</v>
      </c>
    </row>
  </sheetData>
  <mergeCells count="15">
    <mergeCell ref="A1:S1"/>
    <mergeCell ref="C6:F6"/>
    <mergeCell ref="M6:P6"/>
    <mergeCell ref="A6:A7"/>
    <mergeCell ref="B6:B7"/>
    <mergeCell ref="G6:G7"/>
    <mergeCell ref="H6:H7"/>
    <mergeCell ref="I6:I7"/>
    <mergeCell ref="K6:K7"/>
    <mergeCell ref="L6:L7"/>
    <mergeCell ref="Q6:Q7"/>
    <mergeCell ref="R6:R7"/>
    <mergeCell ref="S6:S7"/>
    <mergeCell ref="A3:I5"/>
    <mergeCell ref="K3:S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设置</vt:lpstr>
      <vt:lpstr>个贷明细</vt:lpstr>
      <vt:lpstr>企贷明细</vt:lpstr>
      <vt:lpstr>1季统计</vt:lpstr>
      <vt:lpstr>2季统计</vt:lpstr>
      <vt:lpstr>3季统计</vt:lpstr>
      <vt:lpstr>4季统计</vt:lpstr>
      <vt:lpstr>报省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</dc:creator>
  <dc:description>湖北省创业担保贷款财政贴息情况报表</dc:description>
  <cp:lastModifiedBy>Administrator</cp:lastModifiedBy>
  <dcterms:created xsi:type="dcterms:W3CDTF">2023-05-12T11:15:00Z</dcterms:created>
  <dcterms:modified xsi:type="dcterms:W3CDTF">2025-05-30T00:39:55Z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36752015BCB54637AFEC3733054F29A6_13</vt:lpwstr>
  </property>
  <property fmtid="{D5CDD505-2E9C-101B-9397-08002B2CF9AE}" pid="3" name="KSOProductBuildVer">
    <vt:lpwstr>2052-11.8.2.12085</vt:lpwstr>
  </property>
</Properties>
</file>